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drawings/drawing4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4270" windowHeight="13155" firstSheet="2" activeTab="7"/>
  </bookViews>
  <sheets>
    <sheet name="значения базового норматива" sheetId="6" r:id="rId1"/>
    <sheet name="расчет объема" sheetId="4" r:id="rId2"/>
    <sheet name="расчет подушевого 2022" sheetId="1" r:id="rId3"/>
    <sheet name="РАСШИФРОВКА  2022 (2)" sheetId="5" r:id="rId4"/>
    <sheet name="расчет подушевого 2023" sheetId="2" r:id="rId5"/>
    <sheet name="расшифровка 2023" sheetId="8" r:id="rId6"/>
    <sheet name="расчет подушевого 2024" sheetId="3" r:id="rId7"/>
    <sheet name="расшифровка 2024" sheetId="9" r:id="rId8"/>
  </sheets>
  <externalReferences>
    <externalReference r:id="rId9"/>
    <externalReference r:id="rId10"/>
    <externalReference r:id="rId11"/>
  </externalReferences>
  <definedNames>
    <definedName name="_xlnm.Print_Area" localSheetId="0">'значения базового норматива'!$A$1:$N$35</definedName>
    <definedName name="_xlnm.Print_Area" localSheetId="2">'расчет подушевого 2022'!$A$1:$K$164</definedName>
    <definedName name="_xlnm.Print_Area" localSheetId="4">'расчет подушевого 2023'!$A$1:$K$137</definedName>
    <definedName name="_xlnm.Print_Area" localSheetId="6">'расчет подушевого 2024'!$A$1:$K$137</definedName>
    <definedName name="_xlnm.Print_Area" localSheetId="3">'РАСШИФРОВКА  2022 (2)'!$A$1:$H$416</definedName>
    <definedName name="_xlnm.Print_Area" localSheetId="5">'расшифровка 2023'!$A$1:$G$416</definedName>
    <definedName name="_xlnm.Print_Area" localSheetId="7">'расшифровка 2024'!$A$1:$H$406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10" i="8" l="1"/>
  <c r="C413" i="8" l="1"/>
  <c r="E413" i="8"/>
  <c r="E210" i="8"/>
  <c r="E145" i="8"/>
  <c r="E205" i="9"/>
  <c r="E143" i="9"/>
  <c r="E99" i="9"/>
  <c r="E30" i="6"/>
  <c r="O29" i="6"/>
  <c r="C402" i="9"/>
  <c r="E399" i="9"/>
  <c r="C400" i="9"/>
  <c r="E393" i="9"/>
  <c r="I394" i="9"/>
  <c r="J394" i="9" s="1"/>
  <c r="I393" i="9"/>
  <c r="E392" i="9"/>
  <c r="I14" i="9"/>
  <c r="J186" i="9"/>
  <c r="J185" i="9"/>
  <c r="J184" i="9"/>
  <c r="I186" i="9"/>
  <c r="I185" i="9"/>
  <c r="I184" i="9"/>
  <c r="H202" i="8"/>
  <c r="H19" i="8"/>
  <c r="B406" i="8"/>
  <c r="F398" i="8"/>
  <c r="F399" i="8" s="1"/>
  <c r="F395" i="8"/>
  <c r="F396" i="8" s="1"/>
  <c r="F400" i="8" s="1"/>
  <c r="L390" i="8"/>
  <c r="F390" i="8"/>
  <c r="L389" i="8"/>
  <c r="F389" i="8"/>
  <c r="F388" i="8"/>
  <c r="F387" i="8"/>
  <c r="F386" i="8"/>
  <c r="F385" i="8"/>
  <c r="F384" i="8"/>
  <c r="F383" i="8"/>
  <c r="F382" i="8"/>
  <c r="F381" i="8"/>
  <c r="F380" i="8"/>
  <c r="F379" i="8"/>
  <c r="F378" i="8"/>
  <c r="F377" i="8"/>
  <c r="F376" i="8"/>
  <c r="F375" i="8"/>
  <c r="F374" i="8"/>
  <c r="F373" i="8"/>
  <c r="F372" i="8"/>
  <c r="F371" i="8"/>
  <c r="F370" i="8"/>
  <c r="F369" i="8"/>
  <c r="F368" i="8"/>
  <c r="F367" i="8"/>
  <c r="F366" i="8"/>
  <c r="F364" i="8"/>
  <c r="F363" i="8"/>
  <c r="F362" i="8"/>
  <c r="F361" i="8"/>
  <c r="F360" i="8"/>
  <c r="F359" i="8"/>
  <c r="F358" i="8"/>
  <c r="F357" i="8"/>
  <c r="F356" i="8"/>
  <c r="F355" i="8"/>
  <c r="F354" i="8"/>
  <c r="F353" i="8"/>
  <c r="F352" i="8"/>
  <c r="F351" i="8"/>
  <c r="F350" i="8"/>
  <c r="F349" i="8"/>
  <c r="F348" i="8"/>
  <c r="F347" i="8"/>
  <c r="F346" i="8"/>
  <c r="F345" i="8"/>
  <c r="F344" i="8"/>
  <c r="F343" i="8"/>
  <c r="F342" i="8"/>
  <c r="F341" i="8"/>
  <c r="F340" i="8"/>
  <c r="F339" i="8"/>
  <c r="F338" i="8"/>
  <c r="F337" i="8"/>
  <c r="F336" i="8"/>
  <c r="F392" i="8" s="1"/>
  <c r="E335" i="8"/>
  <c r="D331" i="8"/>
  <c r="F331" i="8" s="1"/>
  <c r="D330" i="8"/>
  <c r="F330" i="8" s="1"/>
  <c r="F329" i="8"/>
  <c r="F328" i="8"/>
  <c r="F327" i="8"/>
  <c r="F326" i="8"/>
  <c r="D325" i="8"/>
  <c r="F325" i="8" s="1"/>
  <c r="F324" i="8"/>
  <c r="D323" i="8"/>
  <c r="F323" i="8" s="1"/>
  <c r="D322" i="8"/>
  <c r="F322" i="8" s="1"/>
  <c r="D321" i="8"/>
  <c r="F321" i="8" s="1"/>
  <c r="D320" i="8"/>
  <c r="F320" i="8" s="1"/>
  <c r="D319" i="8"/>
  <c r="F319" i="8" s="1"/>
  <c r="D318" i="8"/>
  <c r="F318" i="8" s="1"/>
  <c r="D317" i="8"/>
  <c r="F317" i="8" s="1"/>
  <c r="F316" i="8"/>
  <c r="D315" i="8"/>
  <c r="F315" i="8" s="1"/>
  <c r="D314" i="8"/>
  <c r="F314" i="8" s="1"/>
  <c r="D313" i="8"/>
  <c r="F313" i="8" s="1"/>
  <c r="D312" i="8"/>
  <c r="F312" i="8" s="1"/>
  <c r="D311" i="8"/>
  <c r="F311" i="8" s="1"/>
  <c r="D310" i="8"/>
  <c r="F310" i="8" s="1"/>
  <c r="F309" i="8"/>
  <c r="F308" i="8"/>
  <c r="F307" i="8"/>
  <c r="D306" i="8"/>
  <c r="F306" i="8" s="1"/>
  <c r="D305" i="8"/>
  <c r="F305" i="8" s="1"/>
  <c r="D304" i="8"/>
  <c r="F304" i="8" s="1"/>
  <c r="D303" i="8"/>
  <c r="F303" i="8" s="1"/>
  <c r="D302" i="8"/>
  <c r="F302" i="8" s="1"/>
  <c r="D301" i="8"/>
  <c r="F301" i="8" s="1"/>
  <c r="D300" i="8"/>
  <c r="F300" i="8" s="1"/>
  <c r="D299" i="8"/>
  <c r="F299" i="8" s="1"/>
  <c r="D298" i="8"/>
  <c r="F298" i="8" s="1"/>
  <c r="D297" i="8"/>
  <c r="F297" i="8" s="1"/>
  <c r="D296" i="8"/>
  <c r="F296" i="8" s="1"/>
  <c r="F332" i="8" s="1"/>
  <c r="F292" i="8"/>
  <c r="F287" i="8"/>
  <c r="F288" i="8" s="1"/>
  <c r="F293" i="8" s="1"/>
  <c r="F278" i="8"/>
  <c r="F277" i="8"/>
  <c r="F276" i="8"/>
  <c r="F275" i="8"/>
  <c r="F274" i="8"/>
  <c r="F273" i="8"/>
  <c r="F279" i="8" s="1"/>
  <c r="F267" i="8"/>
  <c r="F266" i="8"/>
  <c r="F265" i="8"/>
  <c r="F264" i="8"/>
  <c r="E263" i="8"/>
  <c r="F263" i="8" s="1"/>
  <c r="F262" i="8"/>
  <c r="F261" i="8"/>
  <c r="F260" i="8"/>
  <c r="F259" i="8"/>
  <c r="F258" i="8"/>
  <c r="F257" i="8"/>
  <c r="F256" i="8"/>
  <c r="F255" i="8"/>
  <c r="F254" i="8"/>
  <c r="F253" i="8"/>
  <c r="F252" i="8"/>
  <c r="F251" i="8"/>
  <c r="F250" i="8"/>
  <c r="F249" i="8"/>
  <c r="F248" i="8"/>
  <c r="F247" i="8"/>
  <c r="F246" i="8"/>
  <c r="F245" i="8"/>
  <c r="F244" i="8"/>
  <c r="F243" i="8"/>
  <c r="F242" i="8"/>
  <c r="F241" i="8"/>
  <c r="F240" i="8"/>
  <c r="F239" i="8"/>
  <c r="F238" i="8"/>
  <c r="F237" i="8"/>
  <c r="F236" i="8"/>
  <c r="F235" i="8"/>
  <c r="F234" i="8"/>
  <c r="F233" i="8"/>
  <c r="F232" i="8"/>
  <c r="F231" i="8"/>
  <c r="F269" i="8" s="1"/>
  <c r="F226" i="8"/>
  <c r="F227" i="8" s="1"/>
  <c r="F222" i="8"/>
  <c r="F221" i="8"/>
  <c r="F220" i="8"/>
  <c r="F219" i="8"/>
  <c r="F218" i="8"/>
  <c r="F217" i="8"/>
  <c r="F216" i="8"/>
  <c r="F215" i="8"/>
  <c r="F223" i="8" s="1"/>
  <c r="E404" i="8" s="1"/>
  <c r="F211" i="8"/>
  <c r="F210" i="8"/>
  <c r="F212" i="8" s="1"/>
  <c r="D404" i="8" s="1"/>
  <c r="D200" i="8"/>
  <c r="E200" i="8" s="1"/>
  <c r="D199" i="8"/>
  <c r="E198" i="8"/>
  <c r="C197" i="8"/>
  <c r="E197" i="8" s="1"/>
  <c r="C196" i="8"/>
  <c r="F178" i="8"/>
  <c r="F179" i="8" s="1"/>
  <c r="F174" i="8"/>
  <c r="F173" i="8"/>
  <c r="F175" i="8" s="1"/>
  <c r="F180" i="8" s="1"/>
  <c r="F169" i="8"/>
  <c r="F167" i="8"/>
  <c r="F166" i="8"/>
  <c r="F165" i="8"/>
  <c r="F168" i="8" s="1"/>
  <c r="F161" i="8"/>
  <c r="F162" i="8" s="1"/>
  <c r="F157" i="8"/>
  <c r="F156" i="8"/>
  <c r="F158" i="8" s="1"/>
  <c r="F153" i="8"/>
  <c r="F152" i="8"/>
  <c r="F154" i="8" s="1"/>
  <c r="F149" i="8"/>
  <c r="F150" i="8" s="1"/>
  <c r="F146" i="8"/>
  <c r="F145" i="8"/>
  <c r="F147" i="8" s="1"/>
  <c r="F142" i="8"/>
  <c r="F141" i="8"/>
  <c r="F140" i="8"/>
  <c r="F135" i="8"/>
  <c r="F132" i="8"/>
  <c r="F131" i="8"/>
  <c r="F130" i="8"/>
  <c r="F129" i="8"/>
  <c r="F133" i="8" s="1"/>
  <c r="F125" i="8"/>
  <c r="F123" i="8"/>
  <c r="F122" i="8"/>
  <c r="F121" i="8"/>
  <c r="F126" i="8" s="1"/>
  <c r="F117" i="8"/>
  <c r="F116" i="8"/>
  <c r="F115" i="8"/>
  <c r="F118" i="8" s="1"/>
  <c r="F111" i="8"/>
  <c r="F110" i="8"/>
  <c r="F112" i="8" s="1"/>
  <c r="F103" i="8"/>
  <c r="F106" i="8" s="1"/>
  <c r="F100" i="8"/>
  <c r="F98" i="8"/>
  <c r="F97" i="8"/>
  <c r="F96" i="8"/>
  <c r="F101" i="8" s="1"/>
  <c r="C185" i="8" s="1"/>
  <c r="C411" i="8" s="1"/>
  <c r="I93" i="8"/>
  <c r="F91" i="8"/>
  <c r="N91" i="8" s="1"/>
  <c r="F90" i="8"/>
  <c r="F89" i="8"/>
  <c r="F88" i="8"/>
  <c r="F87" i="8"/>
  <c r="F86" i="8"/>
  <c r="F85" i="8"/>
  <c r="F84" i="8"/>
  <c r="F92" i="8" s="1"/>
  <c r="F81" i="8"/>
  <c r="F80" i="8"/>
  <c r="F79" i="8"/>
  <c r="F78" i="8"/>
  <c r="F77" i="8"/>
  <c r="F76" i="8"/>
  <c r="F82" i="8" s="1"/>
  <c r="F93" i="8" s="1"/>
  <c r="F72" i="8"/>
  <c r="F73" i="8" s="1"/>
  <c r="F69" i="8"/>
  <c r="F68" i="8"/>
  <c r="F67" i="8"/>
  <c r="F66" i="8"/>
  <c r="F65" i="8"/>
  <c r="F64" i="8"/>
  <c r="F63" i="8"/>
  <c r="F62" i="8"/>
  <c r="F61" i="8"/>
  <c r="F60" i="8"/>
  <c r="F59" i="8"/>
  <c r="F58" i="8"/>
  <c r="F57" i="8"/>
  <c r="F56" i="8"/>
  <c r="F55" i="8"/>
  <c r="F54" i="8"/>
  <c r="F53" i="8"/>
  <c r="F52" i="8"/>
  <c r="F51" i="8"/>
  <c r="F50" i="8"/>
  <c r="F49" i="8"/>
  <c r="F48" i="8"/>
  <c r="F47" i="8"/>
  <c r="F46" i="8"/>
  <c r="F45" i="8"/>
  <c r="F44" i="8"/>
  <c r="F43" i="8"/>
  <c r="F70" i="8" s="1"/>
  <c r="F74" i="8" s="1"/>
  <c r="F38" i="8"/>
  <c r="F37" i="8"/>
  <c r="F39" i="8" s="1"/>
  <c r="F34" i="8"/>
  <c r="F33" i="8"/>
  <c r="F32" i="8"/>
  <c r="F31" i="8"/>
  <c r="F30" i="8"/>
  <c r="F29" i="8"/>
  <c r="F28" i="8"/>
  <c r="F27" i="8"/>
  <c r="F26" i="8"/>
  <c r="F25" i="8"/>
  <c r="F35" i="8" s="1"/>
  <c r="D185" i="8" s="1"/>
  <c r="E18" i="8"/>
  <c r="D17" i="8"/>
  <c r="D16" i="8"/>
  <c r="E15" i="8"/>
  <c r="D14" i="8"/>
  <c r="C14" i="8"/>
  <c r="C13" i="8"/>
  <c r="F387" i="9"/>
  <c r="F388" i="9" s="1"/>
  <c r="F384" i="9"/>
  <c r="F385" i="9" s="1"/>
  <c r="F389" i="9" s="1"/>
  <c r="F381" i="9"/>
  <c r="F380" i="9"/>
  <c r="F379" i="9"/>
  <c r="F378" i="9"/>
  <c r="F377" i="9"/>
  <c r="F376" i="9"/>
  <c r="F375" i="9"/>
  <c r="F374" i="9"/>
  <c r="F373" i="9"/>
  <c r="F372" i="9"/>
  <c r="F371" i="9"/>
  <c r="F370" i="9"/>
  <c r="F369" i="9"/>
  <c r="F368" i="9"/>
  <c r="F367" i="9"/>
  <c r="F366" i="9"/>
  <c r="F365" i="9"/>
  <c r="F364" i="9"/>
  <c r="F363" i="9"/>
  <c r="F362" i="9"/>
  <c r="F361" i="9"/>
  <c r="F360" i="9"/>
  <c r="F359" i="9"/>
  <c r="F358" i="9"/>
  <c r="F357" i="9"/>
  <c r="F355" i="9"/>
  <c r="F354" i="9"/>
  <c r="F353" i="9"/>
  <c r="F352" i="9"/>
  <c r="F351" i="9"/>
  <c r="F350" i="9"/>
  <c r="F349" i="9"/>
  <c r="F348" i="9"/>
  <c r="F347" i="9"/>
  <c r="F346" i="9"/>
  <c r="F345" i="9"/>
  <c r="F344" i="9"/>
  <c r="F343" i="9"/>
  <c r="F342" i="9"/>
  <c r="F341" i="9"/>
  <c r="F340" i="9"/>
  <c r="F339" i="9"/>
  <c r="F338" i="9"/>
  <c r="F337" i="9"/>
  <c r="F336" i="9"/>
  <c r="F335" i="9"/>
  <c r="F334" i="9"/>
  <c r="F333" i="9"/>
  <c r="F332" i="9"/>
  <c r="F331" i="9"/>
  <c r="F330" i="9"/>
  <c r="F329" i="9"/>
  <c r="F328" i="9"/>
  <c r="F327" i="9"/>
  <c r="F382" i="9" s="1"/>
  <c r="E326" i="9"/>
  <c r="D322" i="9"/>
  <c r="F322" i="9" s="1"/>
  <c r="D321" i="9"/>
  <c r="F321" i="9" s="1"/>
  <c r="F320" i="9"/>
  <c r="F319" i="9"/>
  <c r="F318" i="9"/>
  <c r="F317" i="9"/>
  <c r="D316" i="9"/>
  <c r="F316" i="9" s="1"/>
  <c r="F315" i="9"/>
  <c r="D314" i="9"/>
  <c r="F314" i="9" s="1"/>
  <c r="D313" i="9"/>
  <c r="F313" i="9" s="1"/>
  <c r="D312" i="9"/>
  <c r="F312" i="9" s="1"/>
  <c r="D311" i="9"/>
  <c r="F311" i="9" s="1"/>
  <c r="D310" i="9"/>
  <c r="F310" i="9" s="1"/>
  <c r="D309" i="9"/>
  <c r="F309" i="9" s="1"/>
  <c r="D308" i="9"/>
  <c r="F308" i="9" s="1"/>
  <c r="F307" i="9"/>
  <c r="D306" i="9"/>
  <c r="F306" i="9" s="1"/>
  <c r="D305" i="9"/>
  <c r="F305" i="9" s="1"/>
  <c r="D304" i="9"/>
  <c r="F304" i="9" s="1"/>
  <c r="D303" i="9"/>
  <c r="F303" i="9" s="1"/>
  <c r="D302" i="9"/>
  <c r="F302" i="9" s="1"/>
  <c r="D301" i="9"/>
  <c r="F301" i="9" s="1"/>
  <c r="F300" i="9"/>
  <c r="F299" i="9"/>
  <c r="F298" i="9"/>
  <c r="D297" i="9"/>
  <c r="F297" i="9" s="1"/>
  <c r="D296" i="9"/>
  <c r="F296" i="9" s="1"/>
  <c r="D295" i="9"/>
  <c r="F295" i="9" s="1"/>
  <c r="D294" i="9"/>
  <c r="F294" i="9" s="1"/>
  <c r="D293" i="9"/>
  <c r="F293" i="9" s="1"/>
  <c r="D292" i="9"/>
  <c r="F292" i="9" s="1"/>
  <c r="D291" i="9"/>
  <c r="F291" i="9" s="1"/>
  <c r="D290" i="9"/>
  <c r="F290" i="9" s="1"/>
  <c r="D289" i="9"/>
  <c r="F289" i="9" s="1"/>
  <c r="D288" i="9"/>
  <c r="F288" i="9" s="1"/>
  <c r="D287" i="9"/>
  <c r="F287" i="9" s="1"/>
  <c r="F323" i="9" s="1"/>
  <c r="F283" i="9"/>
  <c r="F278" i="9"/>
  <c r="F279" i="9" s="1"/>
  <c r="F284" i="9" s="1"/>
  <c r="F269" i="9"/>
  <c r="F268" i="9"/>
  <c r="F267" i="9"/>
  <c r="F266" i="9"/>
  <c r="F265" i="9"/>
  <c r="F264" i="9"/>
  <c r="F270" i="9" s="1"/>
  <c r="F260" i="9"/>
  <c r="F259" i="9"/>
  <c r="F258" i="9"/>
  <c r="F257" i="9"/>
  <c r="E256" i="9"/>
  <c r="F256" i="9" s="1"/>
  <c r="F255" i="9"/>
  <c r="F254" i="9"/>
  <c r="F253" i="9"/>
  <c r="F252" i="9"/>
  <c r="F251" i="9"/>
  <c r="F250" i="9"/>
  <c r="F249" i="9"/>
  <c r="F248" i="9"/>
  <c r="F247" i="9"/>
  <c r="F246" i="9"/>
  <c r="F245" i="9"/>
  <c r="F244" i="9"/>
  <c r="F243" i="9"/>
  <c r="F242" i="9"/>
  <c r="F241" i="9"/>
  <c r="F240" i="9"/>
  <c r="F239" i="9"/>
  <c r="F238" i="9"/>
  <c r="F237" i="9"/>
  <c r="F236" i="9"/>
  <c r="F235" i="9"/>
  <c r="F234" i="9"/>
  <c r="F233" i="9"/>
  <c r="F232" i="9"/>
  <c r="F231" i="9"/>
  <c r="F230" i="9"/>
  <c r="F229" i="9"/>
  <c r="F228" i="9"/>
  <c r="F227" i="9"/>
  <c r="F226" i="9"/>
  <c r="F225" i="9"/>
  <c r="F224" i="9"/>
  <c r="F261" i="9" s="1"/>
  <c r="F220" i="9"/>
  <c r="F221" i="9" s="1"/>
  <c r="F217" i="9"/>
  <c r="F216" i="9"/>
  <c r="F215" i="9"/>
  <c r="F214" i="9"/>
  <c r="F213" i="9"/>
  <c r="F212" i="9"/>
  <c r="F211" i="9"/>
  <c r="F210" i="9"/>
  <c r="F218" i="9" s="1"/>
  <c r="F206" i="9"/>
  <c r="F205" i="9"/>
  <c r="F207" i="9" s="1"/>
  <c r="D393" i="9" s="1"/>
  <c r="D196" i="9"/>
  <c r="C196" i="9"/>
  <c r="D195" i="9"/>
  <c r="E194" i="9"/>
  <c r="C193" i="9"/>
  <c r="E193" i="9" s="1"/>
  <c r="C192" i="9"/>
  <c r="H178" i="9"/>
  <c r="F178" i="9"/>
  <c r="F172" i="9"/>
  <c r="F171" i="9"/>
  <c r="F173" i="9" s="1"/>
  <c r="F179" i="9" s="1"/>
  <c r="F167" i="9"/>
  <c r="F165" i="9"/>
  <c r="F164" i="9"/>
  <c r="F163" i="9"/>
  <c r="F166" i="9" s="1"/>
  <c r="F159" i="9"/>
  <c r="F160" i="9" s="1"/>
  <c r="F155" i="9"/>
  <c r="F154" i="9"/>
  <c r="F156" i="9" s="1"/>
  <c r="F151" i="9"/>
  <c r="F150" i="9"/>
  <c r="F152" i="9" s="1"/>
  <c r="F147" i="9"/>
  <c r="F148" i="9" s="1"/>
  <c r="F144" i="9"/>
  <c r="F143" i="9"/>
  <c r="F145" i="9" s="1"/>
  <c r="F140" i="9"/>
  <c r="F139" i="9"/>
  <c r="F138" i="9"/>
  <c r="F133" i="9"/>
  <c r="F128" i="9"/>
  <c r="F125" i="9"/>
  <c r="F124" i="9"/>
  <c r="F123" i="9"/>
  <c r="F122" i="9"/>
  <c r="F126" i="9" s="1"/>
  <c r="F118" i="9"/>
  <c r="F116" i="9"/>
  <c r="F115" i="9"/>
  <c r="F114" i="9"/>
  <c r="F119" i="9" s="1"/>
  <c r="F111" i="9"/>
  <c r="F110" i="9"/>
  <c r="F109" i="9"/>
  <c r="F112" i="9" s="1"/>
  <c r="F106" i="9"/>
  <c r="F105" i="9"/>
  <c r="F107" i="9" s="1"/>
  <c r="F99" i="9"/>
  <c r="F102" i="9" s="1"/>
  <c r="F96" i="9"/>
  <c r="F94" i="9"/>
  <c r="F93" i="9"/>
  <c r="F92" i="9"/>
  <c r="F97" i="9" s="1"/>
  <c r="I90" i="9"/>
  <c r="F88" i="9"/>
  <c r="N88" i="9" s="1"/>
  <c r="F87" i="9"/>
  <c r="F86" i="9"/>
  <c r="F85" i="9"/>
  <c r="F84" i="9"/>
  <c r="F83" i="9"/>
  <c r="F82" i="9"/>
  <c r="F81" i="9"/>
  <c r="F89" i="9" s="1"/>
  <c r="F78" i="9"/>
  <c r="F77" i="9"/>
  <c r="F76" i="9"/>
  <c r="F75" i="9"/>
  <c r="F74" i="9"/>
  <c r="F73" i="9"/>
  <c r="F79" i="9" s="1"/>
  <c r="F90" i="9" s="1"/>
  <c r="F68" i="9"/>
  <c r="D67" i="9"/>
  <c r="F66" i="9"/>
  <c r="F70" i="9" s="1"/>
  <c r="F63" i="9"/>
  <c r="F62" i="9"/>
  <c r="F61" i="9"/>
  <c r="F60" i="9"/>
  <c r="F59" i="9"/>
  <c r="F58" i="9"/>
  <c r="F57" i="9"/>
  <c r="F56" i="9"/>
  <c r="F55" i="9"/>
  <c r="F54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64" i="9" s="1"/>
  <c r="F71" i="9" s="1"/>
  <c r="F32" i="9"/>
  <c r="F31" i="9"/>
  <c r="F33" i="9" s="1"/>
  <c r="F28" i="9"/>
  <c r="F27" i="9"/>
  <c r="F26" i="9"/>
  <c r="F25" i="9"/>
  <c r="F24" i="9"/>
  <c r="F23" i="9"/>
  <c r="F22" i="9"/>
  <c r="F21" i="9"/>
  <c r="F20" i="9"/>
  <c r="F19" i="9"/>
  <c r="F29" i="9" s="1"/>
  <c r="D183" i="9" s="1"/>
  <c r="D400" i="9" s="1"/>
  <c r="E13" i="9"/>
  <c r="D12" i="9"/>
  <c r="D11" i="9"/>
  <c r="E10" i="9"/>
  <c r="D9" i="9"/>
  <c r="C9" i="9"/>
  <c r="C8" i="9"/>
  <c r="F393" i="9" l="1"/>
  <c r="C183" i="9"/>
  <c r="D411" i="8"/>
  <c r="F404" i="8"/>
  <c r="C19" i="8"/>
  <c r="D184" i="8" s="1"/>
  <c r="E13" i="8"/>
  <c r="E14" i="8"/>
  <c r="D19" i="8"/>
  <c r="E184" i="8" s="1"/>
  <c r="E16" i="8"/>
  <c r="E17" i="8"/>
  <c r="F40" i="8"/>
  <c r="F107" i="8"/>
  <c r="F143" i="8"/>
  <c r="E185" i="8" s="1"/>
  <c r="E411" i="8" s="1"/>
  <c r="F411" i="8" s="1"/>
  <c r="C202" i="8"/>
  <c r="D403" i="8" s="1"/>
  <c r="D410" i="8" s="1"/>
  <c r="D413" i="8" s="1"/>
  <c r="E196" i="8"/>
  <c r="D202" i="8"/>
  <c r="E403" i="8" s="1"/>
  <c r="E410" i="8" s="1"/>
  <c r="E199" i="8"/>
  <c r="C14" i="9"/>
  <c r="D182" i="9" s="1"/>
  <c r="E8" i="9"/>
  <c r="E9" i="9"/>
  <c r="D14" i="9"/>
  <c r="E182" i="9" s="1"/>
  <c r="E11" i="9"/>
  <c r="E12" i="9"/>
  <c r="F34" i="9"/>
  <c r="F103" i="9"/>
  <c r="F141" i="9"/>
  <c r="E183" i="9" s="1"/>
  <c r="E400" i="9" s="1"/>
  <c r="C198" i="9"/>
  <c r="E192" i="9"/>
  <c r="D198" i="9"/>
  <c r="E195" i="9"/>
  <c r="E196" i="9"/>
  <c r="E43" i="6"/>
  <c r="D43" i="6"/>
  <c r="C43" i="6"/>
  <c r="E32" i="6"/>
  <c r="E28" i="6"/>
  <c r="F182" i="9" l="1"/>
  <c r="D392" i="9"/>
  <c r="E402" i="9"/>
  <c r="F400" i="9"/>
  <c r="F183" i="9"/>
  <c r="F410" i="8"/>
  <c r="F403" i="8"/>
  <c r="F406" i="8"/>
  <c r="F413" i="8"/>
  <c r="F184" i="8"/>
  <c r="F185" i="8"/>
  <c r="E202" i="8"/>
  <c r="E19" i="8"/>
  <c r="E198" i="9"/>
  <c r="H177" i="9"/>
  <c r="E14" i="9"/>
  <c r="D30" i="6"/>
  <c r="D28" i="6"/>
  <c r="F398" i="5"/>
  <c r="F399" i="5" s="1"/>
  <c r="F395" i="5"/>
  <c r="F396" i="5" s="1"/>
  <c r="F400" i="5" s="1"/>
  <c r="E391" i="5"/>
  <c r="F390" i="5"/>
  <c r="F389" i="5"/>
  <c r="F388" i="5"/>
  <c r="F387" i="5"/>
  <c r="F386" i="5"/>
  <c r="F385" i="5"/>
  <c r="F384" i="5"/>
  <c r="F383" i="5"/>
  <c r="F382" i="5"/>
  <c r="F381" i="5"/>
  <c r="F380" i="5"/>
  <c r="F379" i="5"/>
  <c r="F378" i="5"/>
  <c r="F377" i="5"/>
  <c r="F376" i="5"/>
  <c r="F375" i="5"/>
  <c r="F374" i="5"/>
  <c r="F373" i="5"/>
  <c r="F372" i="5"/>
  <c r="F371" i="5"/>
  <c r="F370" i="5"/>
  <c r="F369" i="5"/>
  <c r="F368" i="5"/>
  <c r="F367" i="5"/>
  <c r="F366" i="5"/>
  <c r="F364" i="5"/>
  <c r="F363" i="5"/>
  <c r="F362" i="5"/>
  <c r="F361" i="5"/>
  <c r="F360" i="5"/>
  <c r="F359" i="5"/>
  <c r="F358" i="5"/>
  <c r="F357" i="5"/>
  <c r="F356" i="5"/>
  <c r="F355" i="5"/>
  <c r="F354" i="5"/>
  <c r="F353" i="5"/>
  <c r="F352" i="5"/>
  <c r="F351" i="5"/>
  <c r="F350" i="5"/>
  <c r="F349" i="5"/>
  <c r="F348" i="5"/>
  <c r="F347" i="5"/>
  <c r="F346" i="5"/>
  <c r="F345" i="5"/>
  <c r="F344" i="5"/>
  <c r="F343" i="5"/>
  <c r="F342" i="5"/>
  <c r="F341" i="5"/>
  <c r="F340" i="5"/>
  <c r="F339" i="5"/>
  <c r="F338" i="5"/>
  <c r="F337" i="5"/>
  <c r="F336" i="5"/>
  <c r="F392" i="5" s="1"/>
  <c r="E335" i="5"/>
  <c r="D331" i="5"/>
  <c r="F331" i="5" s="1"/>
  <c r="D330" i="5"/>
  <c r="F330" i="5" s="1"/>
  <c r="F329" i="5"/>
  <c r="F328" i="5"/>
  <c r="F327" i="5"/>
  <c r="F326" i="5"/>
  <c r="D325" i="5"/>
  <c r="F325" i="5" s="1"/>
  <c r="F324" i="5"/>
  <c r="D323" i="5"/>
  <c r="F323" i="5" s="1"/>
  <c r="D322" i="5"/>
  <c r="F322" i="5" s="1"/>
  <c r="D321" i="5"/>
  <c r="F321" i="5" s="1"/>
  <c r="D320" i="5"/>
  <c r="F320" i="5" s="1"/>
  <c r="D319" i="5"/>
  <c r="F319" i="5" s="1"/>
  <c r="D318" i="5"/>
  <c r="F318" i="5" s="1"/>
  <c r="D317" i="5"/>
  <c r="F317" i="5" s="1"/>
  <c r="F316" i="5"/>
  <c r="D315" i="5"/>
  <c r="F315" i="5" s="1"/>
  <c r="D314" i="5"/>
  <c r="F314" i="5" s="1"/>
  <c r="D313" i="5"/>
  <c r="F313" i="5" s="1"/>
  <c r="D312" i="5"/>
  <c r="F312" i="5" s="1"/>
  <c r="D311" i="5"/>
  <c r="F311" i="5" s="1"/>
  <c r="D310" i="5"/>
  <c r="F310" i="5" s="1"/>
  <c r="F309" i="5"/>
  <c r="F308" i="5"/>
  <c r="F307" i="5"/>
  <c r="D306" i="5"/>
  <c r="F306" i="5" s="1"/>
  <c r="D305" i="5"/>
  <c r="F305" i="5" s="1"/>
  <c r="D304" i="5"/>
  <c r="F304" i="5" s="1"/>
  <c r="D303" i="5"/>
  <c r="F303" i="5" s="1"/>
  <c r="D302" i="5"/>
  <c r="F302" i="5" s="1"/>
  <c r="D301" i="5"/>
  <c r="F301" i="5" s="1"/>
  <c r="D300" i="5"/>
  <c r="F300" i="5" s="1"/>
  <c r="D299" i="5"/>
  <c r="F299" i="5" s="1"/>
  <c r="D298" i="5"/>
  <c r="F298" i="5" s="1"/>
  <c r="D297" i="5"/>
  <c r="F297" i="5" s="1"/>
  <c r="D296" i="5"/>
  <c r="F296" i="5" s="1"/>
  <c r="F332" i="5" s="1"/>
  <c r="F278" i="5"/>
  <c r="F277" i="5"/>
  <c r="F276" i="5"/>
  <c r="F275" i="5"/>
  <c r="F274" i="5"/>
  <c r="F273" i="5"/>
  <c r="F279" i="5" s="1"/>
  <c r="F267" i="5"/>
  <c r="F266" i="5"/>
  <c r="F265" i="5"/>
  <c r="F264" i="5"/>
  <c r="E263" i="5"/>
  <c r="F263" i="5" s="1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69" i="5" s="1"/>
  <c r="F226" i="5"/>
  <c r="F227" i="5" s="1"/>
  <c r="F222" i="5"/>
  <c r="F221" i="5"/>
  <c r="F220" i="5"/>
  <c r="F219" i="5"/>
  <c r="F218" i="5"/>
  <c r="F217" i="5"/>
  <c r="F216" i="5"/>
  <c r="F215" i="5"/>
  <c r="F223" i="5" s="1"/>
  <c r="F211" i="5"/>
  <c r="F210" i="5"/>
  <c r="F212" i="5" s="1"/>
  <c r="D201" i="5"/>
  <c r="E201" i="5" s="1"/>
  <c r="D200" i="5"/>
  <c r="E200" i="5" s="1"/>
  <c r="E199" i="5"/>
  <c r="C198" i="5"/>
  <c r="E198" i="5" s="1"/>
  <c r="D197" i="5"/>
  <c r="C197" i="5"/>
  <c r="E179" i="5"/>
  <c r="F179" i="5" s="1"/>
  <c r="F180" i="5" s="1"/>
  <c r="F175" i="5"/>
  <c r="F174" i="5"/>
  <c r="F176" i="5" s="1"/>
  <c r="F181" i="5" s="1"/>
  <c r="F170" i="5"/>
  <c r="F168" i="5"/>
  <c r="F167" i="5"/>
  <c r="F166" i="5"/>
  <c r="F169" i="5" s="1"/>
  <c r="E162" i="5"/>
  <c r="F162" i="5" s="1"/>
  <c r="F161" i="5"/>
  <c r="F163" i="5" s="1"/>
  <c r="F158" i="5"/>
  <c r="F157" i="5"/>
  <c r="F159" i="5" s="1"/>
  <c r="F154" i="5"/>
  <c r="F153" i="5"/>
  <c r="F155" i="5" s="1"/>
  <c r="F150" i="5"/>
  <c r="F151" i="5" s="1"/>
  <c r="F147" i="5"/>
  <c r="F146" i="5"/>
  <c r="F148" i="5" s="1"/>
  <c r="F143" i="5"/>
  <c r="F142" i="5"/>
  <c r="F141" i="5"/>
  <c r="F134" i="5"/>
  <c r="F136" i="5" s="1"/>
  <c r="F131" i="5"/>
  <c r="F130" i="5"/>
  <c r="F129" i="5"/>
  <c r="F128" i="5"/>
  <c r="F132" i="5" s="1"/>
  <c r="F124" i="5"/>
  <c r="F123" i="5"/>
  <c r="F122" i="5"/>
  <c r="F121" i="5"/>
  <c r="F120" i="5"/>
  <c r="F125" i="5" s="1"/>
  <c r="F116" i="5"/>
  <c r="F115" i="5"/>
  <c r="F114" i="5"/>
  <c r="F117" i="5" s="1"/>
  <c r="F110" i="5"/>
  <c r="F109" i="5"/>
  <c r="F111" i="5" s="1"/>
  <c r="F102" i="5"/>
  <c r="F105" i="5" s="1"/>
  <c r="F99" i="5"/>
  <c r="F98" i="5"/>
  <c r="F97" i="5"/>
  <c r="F96" i="5"/>
  <c r="F95" i="5"/>
  <c r="F100" i="5" s="1"/>
  <c r="C186" i="5" s="1"/>
  <c r="F91" i="5"/>
  <c r="N91" i="5" s="1"/>
  <c r="F90" i="5"/>
  <c r="F89" i="5"/>
  <c r="F88" i="5"/>
  <c r="F87" i="5"/>
  <c r="F86" i="5"/>
  <c r="F85" i="5"/>
  <c r="F84" i="5"/>
  <c r="F92" i="5" s="1"/>
  <c r="M81" i="5"/>
  <c r="M82" i="5"/>
  <c r="F81" i="5"/>
  <c r="F80" i="5"/>
  <c r="F77" i="5"/>
  <c r="F76" i="5"/>
  <c r="F82" i="5" s="1"/>
  <c r="F93" i="5" s="1"/>
  <c r="F70" i="5"/>
  <c r="F72" i="5" s="1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68" i="5" s="1"/>
  <c r="F73" i="5" s="1"/>
  <c r="F35" i="5"/>
  <c r="F34" i="5"/>
  <c r="F36" i="5" s="1"/>
  <c r="F31" i="5"/>
  <c r="F30" i="5"/>
  <c r="F29" i="5"/>
  <c r="F28" i="5"/>
  <c r="F27" i="5"/>
  <c r="F26" i="5"/>
  <c r="F25" i="5"/>
  <c r="F24" i="5"/>
  <c r="F23" i="5"/>
  <c r="F22" i="5"/>
  <c r="F32" i="5" s="1"/>
  <c r="D186" i="5" s="1"/>
  <c r="E15" i="5"/>
  <c r="D14" i="5"/>
  <c r="C14" i="5"/>
  <c r="D13" i="5"/>
  <c r="C12" i="5"/>
  <c r="D11" i="5"/>
  <c r="C11" i="5"/>
  <c r="C10" i="5"/>
  <c r="C118" i="3"/>
  <c r="C28" i="3"/>
  <c r="C103" i="3"/>
  <c r="C60" i="3"/>
  <c r="F145" i="3"/>
  <c r="E143" i="3"/>
  <c r="D143" i="3"/>
  <c r="J143" i="3" s="1"/>
  <c r="E142" i="3"/>
  <c r="F143" i="3" s="1"/>
  <c r="E114" i="3"/>
  <c r="C84" i="3"/>
  <c r="C59" i="3"/>
  <c r="E29" i="3"/>
  <c r="C103" i="2"/>
  <c r="F145" i="2"/>
  <c r="E143" i="2"/>
  <c r="D143" i="2"/>
  <c r="J143" i="2" s="1"/>
  <c r="E142" i="2"/>
  <c r="F143" i="2" s="1"/>
  <c r="E114" i="2"/>
  <c r="C116" i="2" s="1"/>
  <c r="C84" i="2"/>
  <c r="C59" i="2"/>
  <c r="E29" i="2"/>
  <c r="C28" i="2"/>
  <c r="D399" i="9" l="1"/>
  <c r="F392" i="9"/>
  <c r="F395" i="9" s="1"/>
  <c r="I198" i="9"/>
  <c r="I199" i="9" s="1"/>
  <c r="D32" i="6"/>
  <c r="F185" i="9"/>
  <c r="F188" i="8"/>
  <c r="H179" i="9"/>
  <c r="C411" i="5"/>
  <c r="D404" i="5"/>
  <c r="E404" i="5"/>
  <c r="C16" i="5"/>
  <c r="E10" i="5"/>
  <c r="E11" i="5"/>
  <c r="D16" i="5"/>
  <c r="E185" i="5" s="1"/>
  <c r="E12" i="5"/>
  <c r="E13" i="5"/>
  <c r="E14" i="5"/>
  <c r="F37" i="5"/>
  <c r="M83" i="5"/>
  <c r="F106" i="5"/>
  <c r="F144" i="5"/>
  <c r="E186" i="5" s="1"/>
  <c r="F186" i="5" s="1"/>
  <c r="C203" i="5"/>
  <c r="D403" i="5" s="1"/>
  <c r="E197" i="5"/>
  <c r="D203" i="5"/>
  <c r="E403" i="5" s="1"/>
  <c r="E410" i="5" s="1"/>
  <c r="C120" i="3"/>
  <c r="C116" i="3"/>
  <c r="D142" i="3"/>
  <c r="E28" i="3"/>
  <c r="D144" i="3"/>
  <c r="H144" i="3" s="1"/>
  <c r="C129" i="3"/>
  <c r="D120" i="3"/>
  <c r="D142" i="2"/>
  <c r="E28" i="2"/>
  <c r="D144" i="2"/>
  <c r="H144" i="2" s="1"/>
  <c r="C129" i="2"/>
  <c r="H411" i="8" s="1"/>
  <c r="C120" i="2"/>
  <c r="D120" i="2"/>
  <c r="B413" i="8" l="1"/>
  <c r="I400" i="9"/>
  <c r="D402" i="9"/>
  <c r="F399" i="9"/>
  <c r="F402" i="9" s="1"/>
  <c r="F403" i="5"/>
  <c r="D185" i="5"/>
  <c r="D410" i="5"/>
  <c r="F410" i="5" s="1"/>
  <c r="O28" i="6" s="1"/>
  <c r="E411" i="5"/>
  <c r="F404" i="5"/>
  <c r="D411" i="5"/>
  <c r="F411" i="5"/>
  <c r="F185" i="5"/>
  <c r="F189" i="5" s="1"/>
  <c r="F413" i="5"/>
  <c r="E203" i="5"/>
  <c r="E16" i="5"/>
  <c r="E120" i="3"/>
  <c r="C85" i="3" s="1"/>
  <c r="C86" i="3" s="1"/>
  <c r="D145" i="3"/>
  <c r="G143" i="3"/>
  <c r="I143" i="3" s="1"/>
  <c r="B143" i="3"/>
  <c r="J142" i="3"/>
  <c r="E120" i="2"/>
  <c r="C85" i="2" s="1"/>
  <c r="C86" i="2" s="1"/>
  <c r="D145" i="2"/>
  <c r="G143" i="2"/>
  <c r="I143" i="2" s="1"/>
  <c r="B143" i="2"/>
  <c r="J142" i="2"/>
  <c r="O30" i="6" l="1"/>
  <c r="P28" i="6"/>
  <c r="F406" i="5"/>
  <c r="D147" i="3"/>
  <c r="G145" i="3"/>
  <c r="G147" i="3" s="1"/>
  <c r="C130" i="3"/>
  <c r="C30" i="3"/>
  <c r="C33" i="3" s="1"/>
  <c r="C10" i="3" s="1"/>
  <c r="D147" i="2"/>
  <c r="G145" i="2"/>
  <c r="G147" i="2" s="1"/>
  <c r="C130" i="2"/>
  <c r="C30" i="2"/>
  <c r="C33" i="2" s="1"/>
  <c r="C10" i="2" s="1"/>
  <c r="C131" i="2" l="1"/>
  <c r="B188" i="8"/>
  <c r="H188" i="8" s="1"/>
  <c r="B186" i="8"/>
  <c r="H185" i="8" s="1"/>
  <c r="C131" i="3"/>
  <c r="B185" i="9"/>
  <c r="G185" i="9" s="1"/>
  <c r="B184" i="9"/>
  <c r="C72" i="3"/>
  <c r="C71" i="3"/>
  <c r="C74" i="3" s="1"/>
  <c r="C44" i="3" s="1"/>
  <c r="C72" i="2"/>
  <c r="C71" i="2"/>
  <c r="C74" i="2" s="1"/>
  <c r="C44" i="2" s="1"/>
  <c r="G183" i="9" l="1"/>
  <c r="I183" i="9"/>
  <c r="C61" i="3"/>
  <c r="C62" i="3" s="1"/>
  <c r="C43" i="3" s="1"/>
  <c r="C46" i="3" s="1"/>
  <c r="C11" i="3" s="1"/>
  <c r="C13" i="3" s="1"/>
  <c r="D24" i="1" s="1"/>
  <c r="C47" i="4" s="1"/>
  <c r="E47" i="4" s="1"/>
  <c r="B395" i="9"/>
  <c r="G395" i="9" s="1"/>
  <c r="B394" i="9"/>
  <c r="G393" i="9" s="1"/>
  <c r="C61" i="2"/>
  <c r="C62" i="2" s="1"/>
  <c r="C43" i="2" s="1"/>
  <c r="C46" i="2" s="1"/>
  <c r="C11" i="2" s="1"/>
  <c r="C13" i="2" s="1"/>
  <c r="C24" i="1" s="1"/>
  <c r="C42" i="4" s="1"/>
  <c r="E42" i="4" s="1"/>
  <c r="J42" i="4" s="1"/>
  <c r="C20" i="4" s="1"/>
  <c r="C30" i="6" s="1"/>
  <c r="D45" i="6" s="1"/>
  <c r="B405" i="8"/>
  <c r="H404" i="8" s="1"/>
  <c r="F172" i="1"/>
  <c r="E170" i="1"/>
  <c r="D170" i="1"/>
  <c r="J170" i="1" s="1"/>
  <c r="E169" i="1"/>
  <c r="F170" i="1" s="1"/>
  <c r="E141" i="1"/>
  <c r="C130" i="1"/>
  <c r="C111" i="1"/>
  <c r="C86" i="1"/>
  <c r="E56" i="1"/>
  <c r="C55" i="1"/>
  <c r="J47" i="4" l="1"/>
  <c r="D20" i="4" s="1"/>
  <c r="C32" i="6" s="1"/>
  <c r="E45" i="6" s="1"/>
  <c r="B402" i="9"/>
  <c r="D169" i="1"/>
  <c r="E55" i="1"/>
  <c r="D171" i="1"/>
  <c r="H171" i="1" s="1"/>
  <c r="C156" i="1"/>
  <c r="C147" i="1"/>
  <c r="C143" i="1"/>
  <c r="D147" i="1" s="1"/>
  <c r="E147" i="1" l="1"/>
  <c r="C112" i="1" s="1"/>
  <c r="C113" i="1" s="1"/>
  <c r="D172" i="1"/>
  <c r="G170" i="1"/>
  <c r="I170" i="1" s="1"/>
  <c r="B170" i="1"/>
  <c r="J169" i="1"/>
  <c r="D174" i="1" l="1"/>
  <c r="G172" i="1"/>
  <c r="G174" i="1" s="1"/>
  <c r="C157" i="1"/>
  <c r="C57" i="1"/>
  <c r="C60" i="1" s="1"/>
  <c r="C37" i="1" s="1"/>
  <c r="C158" i="1" l="1"/>
  <c r="B189" i="5"/>
  <c r="B187" i="5"/>
  <c r="C99" i="1"/>
  <c r="C98" i="1"/>
  <c r="C101" i="1" s="1"/>
  <c r="C71" i="1" s="1"/>
  <c r="C88" i="1" l="1"/>
  <c r="C89" i="1" s="1"/>
  <c r="C70" i="1" s="1"/>
  <c r="C73" i="1" s="1"/>
  <c r="C38" i="1" s="1"/>
  <c r="C40" i="1" s="1"/>
  <c r="B24" i="1" s="1"/>
  <c r="C37" i="4" s="1"/>
  <c r="E37" i="4" s="1"/>
  <c r="B406" i="5"/>
  <c r="B405" i="5"/>
  <c r="J37" i="4"/>
  <c r="B20" i="4" s="1"/>
  <c r="C28" i="6" s="1"/>
  <c r="C45" i="6" s="1"/>
  <c r="B413" i="5"/>
</calcChain>
</file>

<file path=xl/comments1.xml><?xml version="1.0" encoding="utf-8"?>
<comments xmlns="http://schemas.openxmlformats.org/spreadsheetml/2006/main">
  <authors>
    <author/>
  </authors>
  <commentList>
    <comment ref="B33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B33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9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comments3.xml><?xml version="1.0" encoding="utf-8"?>
<comments xmlns="http://schemas.openxmlformats.org/spreadsheetml/2006/main">
  <authors>
    <author/>
  </authors>
  <commentList>
    <comment ref="B323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  <comment ref="B382" authorId="0">
      <text>
        <r>
          <rPr>
            <b/>
            <sz val="9"/>
            <color rgb="FF000000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<sst xmlns="http://schemas.openxmlformats.org/spreadsheetml/2006/main" count="2252" uniqueCount="393">
  <si>
    <t>Подушевой норматив финансирования i-й социальной услуги (ПН ) рассчитывается по формуле:</t>
  </si>
  <si>
    <t>ПНсуi = Рпрi  + Р косвi,</t>
  </si>
  <si>
    <t>где:</t>
  </si>
  <si>
    <t>Pпрi  - величина прямых расходов на предоставление i-й социальной услуги;</t>
  </si>
  <si>
    <t>Pкосвi  - величина косвенных расходов на предоставление i-й социальной услуги.</t>
  </si>
  <si>
    <t>Pпрi</t>
  </si>
  <si>
    <t>Pкосвi</t>
  </si>
  <si>
    <t>ПНсуi</t>
  </si>
  <si>
    <t>Pпрi  = ЗПi  + Hi  + OXпрi   + ПРрi  ,</t>
  </si>
  <si>
    <t>ЗПi  - 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год;</t>
  </si>
  <si>
    <t>Нi  - начисления на выплаты по оплате труда персонала, предоставляющего i-ю социальную услугу, устанавливаемые в процентах от расходов на оплату труда в соответствии с законодательством Российской Федерации;</t>
  </si>
  <si>
    <t>OXпрi  - прямые общехозяйственные расходы, непосредственно связанные с предоставлением i-й социальной услуги;</t>
  </si>
  <si>
    <t>ПРрi  - прочие расходы, непосредственно связанные с предоставлением i-й социальной услуги.</t>
  </si>
  <si>
    <t>Зпi</t>
  </si>
  <si>
    <t>Нi</t>
  </si>
  <si>
    <t>OXпрi</t>
  </si>
  <si>
    <t>Пррi</t>
  </si>
  <si>
    <t xml:space="preserve">Pпрi </t>
  </si>
  <si>
    <t>Ркосвi = Ркосв  х Кkpi ,</t>
  </si>
  <si>
    <t>Ркосв  - величина косвенных расходов, включаемых в себестоимость социальных услуг, которые нельзя учесть методом прямого счета;</t>
  </si>
  <si>
    <t>Кkpi - коэффициент косвенных расходов, включаемых в себестоимость i-й социальной услуги.</t>
  </si>
  <si>
    <t>Ркосв</t>
  </si>
  <si>
    <t>Кkpi</t>
  </si>
  <si>
    <t>Ркосвi</t>
  </si>
  <si>
    <t>Ркосв = ЗП у + Ну  + ОХpкосв ,</t>
  </si>
  <si>
    <t>ЗП у</t>
  </si>
  <si>
    <t xml:space="preserve">Ну </t>
  </si>
  <si>
    <t>ОХpкосв</t>
  </si>
  <si>
    <t xml:space="preserve">Ркосв </t>
  </si>
  <si>
    <t>где</t>
  </si>
  <si>
    <t>Р  - величина прямых расходов на предоставление i-й социальной услуги.</t>
  </si>
  <si>
    <t>Рпрi</t>
  </si>
  <si>
    <t xml:space="preserve"> ∑Рпрi</t>
  </si>
  <si>
    <t>ОХpnpi  = ОХp  х Кi ,</t>
  </si>
  <si>
    <t>ОХp  - общехозяйственные расходы;</t>
  </si>
  <si>
    <t>ОХp</t>
  </si>
  <si>
    <t>Кi</t>
  </si>
  <si>
    <t>ОХpnpi</t>
  </si>
  <si>
    <t>Охр</t>
  </si>
  <si>
    <t>К  = ЗПi /( ∑ЗПi  + ЗПу),</t>
  </si>
  <si>
    <t>ЗПi 2021</t>
  </si>
  <si>
    <t xml:space="preserve">ЗПi </t>
  </si>
  <si>
    <t>Зпу 2021</t>
  </si>
  <si>
    <t xml:space="preserve">Кi </t>
  </si>
  <si>
    <t>ОХркосв = ОХр  -  ∑ОХрпрi  ,</t>
  </si>
  <si>
    <t>ОХр - общехозяйственные расходы;</t>
  </si>
  <si>
    <t>OXрпрi  - прямые общехозяйственные расходы, непосредственно связанные с предоставлением i-й социальной услуги.</t>
  </si>
  <si>
    <t>ОХр</t>
  </si>
  <si>
    <t>∑ОХрпрi</t>
  </si>
  <si>
    <t>ОХркосв</t>
  </si>
  <si>
    <t>Утверждаю :</t>
  </si>
  <si>
    <t>Начальник УСЗН Администрации</t>
  </si>
  <si>
    <t>Аксайского района Ростовской области</t>
  </si>
  <si>
    <t>Приложение № 2</t>
  </si>
  <si>
    <t>к приказу УСЗН Администрации</t>
  </si>
  <si>
    <t>Аксасйкого района</t>
  </si>
  <si>
    <t>от 31.12.2021 г. № 85</t>
  </si>
  <si>
    <t>______________Ю.Н.Семикова</t>
  </si>
  <si>
    <t>"31" декабря 2021 г.</t>
  </si>
  <si>
    <r>
      <t xml:space="preserve">Расчет подушевого норматива на одного получателя социальных услуг для муниципальной услуги «по </t>
    </r>
    <r>
      <rPr>
        <b/>
        <sz val="15"/>
        <color theme="1"/>
        <rFont val="Times New Roman"/>
        <family val="1"/>
        <charset val="204"/>
      </rPr>
      <t xml:space="preserve">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 на 2022 год и плановый период 2023 и 2024 годов </t>
    </r>
  </si>
  <si>
    <t xml:space="preserve"> Величина прямых расходов на предоставление i-й социальной услуги (P ) рассчитывается исходя из величины (в среднем по субъекту Российской Федерации) указанных в пункте 5 настоящего документа расходов государственных организаций социального обслуживания на предоставление i-й социальной услуги по формуле:</t>
  </si>
  <si>
    <t xml:space="preserve"> Величина косвенных расходов на предоставление i-й социальной услуги (P ) рассчитывается по формуле:</t>
  </si>
  <si>
    <t>Величина косвенных расходов, включаемых в себестоимость социальных услуг (Р ), рассчитывается по формуле:</t>
  </si>
  <si>
    <r>
      <t xml:space="preserve">Кkpi  = Рпрi / </t>
    </r>
    <r>
      <rPr>
        <sz val="14"/>
        <color rgb="FF000000"/>
        <rFont val="Times New Roman"/>
        <family val="1"/>
        <charset val="204"/>
      </rPr>
      <t>∑</t>
    </r>
    <r>
      <rPr>
        <sz val="14"/>
        <color theme="1"/>
        <rFont val="Times New Roman"/>
        <family val="1"/>
        <charset val="204"/>
      </rPr>
      <t>Рпрi ,</t>
    </r>
  </si>
  <si>
    <t xml:space="preserve"> Величина косвенных общехозяйственных расходов (ОХ ) рассчитывается по формуле:</t>
  </si>
  <si>
    <t>Расчет произведен на основании Постановления Правительства РФ от 01.12.2014 № 1285</t>
  </si>
  <si>
    <t>Ну  - начисления на выплаты по оплате труда управленческого персонала, устанавливаемые в процентах                                                                                                                                                                                                    от расходов на оплату труда  в соответствии с законодательством Российской Федерации;</t>
  </si>
  <si>
    <t xml:space="preserve"> Коэффициент косвенных расходов, включаемых в себестоимость i-й социальной услуги (К ), рассчитывается                                                                                                                                                                           по формуле:</t>
  </si>
  <si>
    <t xml:space="preserve"> Величина прямых общехозяйственных расходов, непосредственно связанных с предоставлением i-й социальной                                                                                                                                                                    услуги (OX ), рассчитывается по формуле:</t>
  </si>
  <si>
    <t>Кi  - коэффициент отнесения общехозяйственных расходов к прямым расходам, непосредственно                                                                                                                                                                                                  связанным с предоставлением i-й социальной услуги.</t>
  </si>
  <si>
    <t>Общехозяйственные расходы (ОХ ) включают расходы на оказание услуг связи, коммунальных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транспортных услуг, а также материальные затраты и прочие расходы и рассчитываются по формуле:</t>
  </si>
  <si>
    <t xml:space="preserve"> Коэффициент отнесения общехозяйственных расходов к прямым расходам,  непосредственно связанным                                                                                                                                                                                            с предоставлением i-й социальной  услуги (К ), определяется по формуле:</t>
  </si>
  <si>
    <t>ЗПi  - расходы на оплату труда персонала, предоставляющего i-ю социальную услугу, определяемые исходя                                                                                                                                                                                                    из количества единиц по штатному расписанию с учетом действующей системы оплаты труда и фактических                                                                                                                                                                                          начислений за предыдущий год;</t>
  </si>
  <si>
    <t>ЗПу  - 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</si>
  <si>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"О расчете подушевых нормативов финансирования социальных услуг"</t>
  </si>
  <si>
    <t>Расчет подушевого норматива на 2022 год</t>
  </si>
  <si>
    <t>год</t>
  </si>
  <si>
    <t>Расчет подушевого норматива на 2023 год</t>
  </si>
  <si>
    <t>Расчет подушевого норматива на 2024 год</t>
  </si>
  <si>
    <t>Расчет подушевого норматива                   на 2023 год</t>
  </si>
  <si>
    <t>Расчет подушевого норматива                                  на 2024 год</t>
  </si>
  <si>
    <t>ЗП у  - расходы на оплату труда управленческого персонала, определяемые исходя из количества единиц по штатному                                                                                                                                                                                                 расписанию с учетом действующей системы оплаты труда и фактических начислений за предыдущий год;</t>
  </si>
  <si>
    <t>ОХpкосв  - косвенные общехозяйственные расходы, включающие расходы на оплату работ (услуг),                                                                                                                                                         необходимых для обеспечения собственных нужд поставщика социальных услуг.</t>
  </si>
  <si>
    <t xml:space="preserve">Зпу </t>
  </si>
  <si>
    <t>где Ni - нормативные затраты на оказание i-й муниципальной услуги, установленной муниципальным заданием;</t>
  </si>
  <si>
    <t>Vi - объем установленной муниципальным заданием i-й муниципальной услуги</t>
  </si>
  <si>
    <t>R=Ni×Vi-iPi×Vi+NУН</t>
  </si>
  <si>
    <t xml:space="preserve">Нормативные затраты на оказание i-й муниципальной услуги  Ni =   </t>
  </si>
  <si>
    <t xml:space="preserve">Объем установленной муниципальным заданием i-й муниципальной услуги Vi = </t>
  </si>
  <si>
    <t xml:space="preserve">NУН = Затраты на уплату налогов, в качестве объекта налогообложения по которым признается имущество учреждения = </t>
  </si>
  <si>
    <t>Расчет подушевого норматива                                              на 2022 год</t>
  </si>
  <si>
    <t>Объем  финансового обеспечения на  выполнение муниципального задания МБУ АР "ЦСОГПВиИ"                                                                                                                                                                                                                  на 2022, 2023 и 2024 года.                                                                                                                                                                                                                                                                                                                                                  «по предоставлению социального обслуживания в форме на дому, включая оказание социально-бытовых услуг, социально-медицинских услуг, социально-психологических услуг, социально-педагогических услуг, социально-трудовых услуг, социально-правовых услуг,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срочных социальных услуг»</t>
  </si>
  <si>
    <t>Объем  финансового обеспечения                                             на 2022 год</t>
  </si>
  <si>
    <t>Pi - размер платы (тариф, цена) за оказание i-й муниципальной услуги ;</t>
  </si>
  <si>
    <r>
      <t xml:space="preserve">                         R = Ni x Vi  - Pi x Vi  + N</t>
    </r>
    <r>
      <rPr>
        <b/>
        <vertAlign val="superscript"/>
        <sz val="14"/>
        <color rgb="FF000000"/>
        <rFont val="Times New Roman"/>
        <family val="1"/>
        <charset val="204"/>
      </rPr>
      <t>yH</t>
    </r>
    <r>
      <rPr>
        <b/>
        <sz val="14"/>
        <color rgb="FF000000"/>
        <rFont val="Times New Roman"/>
        <family val="1"/>
        <charset val="204"/>
      </rPr>
      <t>,</t>
    </r>
  </si>
  <si>
    <t>Объем установленный муниципальным заданием Ni×Vi (гр2*гр3)</t>
  </si>
  <si>
    <t>Pi×Vi          гр.5*гр.6</t>
  </si>
  <si>
    <t>Размер платы (тариф, цена) за оказание i-й муниципальной услуги в соответствии , установленный муниципальным заданием Pi = 14000000/1470</t>
  </si>
  <si>
    <t>Объем финансового обеспечения выполнения муниципального задания                                                                      гр.9=-гр.4-гр7+гр.8</t>
  </si>
  <si>
    <t>Всего</t>
  </si>
  <si>
    <t>расходы на оплату труда и начисления на выплаты по оплате труда персонала, предоставляющего социальную услугу</t>
  </si>
  <si>
    <t>наименование расхода</t>
  </si>
  <si>
    <t>средства областного бюджета</t>
  </si>
  <si>
    <t>внебюджетные средства</t>
  </si>
  <si>
    <t>Итого</t>
  </si>
  <si>
    <t>премия 74 %</t>
  </si>
  <si>
    <t>начисления на выплаты по оплате труда (30,2%)</t>
  </si>
  <si>
    <t>Наименование</t>
  </si>
  <si>
    <t>Единица измерения</t>
  </si>
  <si>
    <t>количество</t>
  </si>
  <si>
    <t xml:space="preserve">цена </t>
  </si>
  <si>
    <t>сумма</t>
  </si>
  <si>
    <t>Из средств областного бюджета</t>
  </si>
  <si>
    <t xml:space="preserve">Плащ или куртка </t>
  </si>
  <si>
    <t>шт</t>
  </si>
  <si>
    <t xml:space="preserve">Халат х/б </t>
  </si>
  <si>
    <t>Обувь зимняя  (утепленная)</t>
  </si>
  <si>
    <t xml:space="preserve">Обувь кожаная </t>
  </si>
  <si>
    <t>Обувь резиновая</t>
  </si>
  <si>
    <t>Обувь комнатная</t>
  </si>
  <si>
    <t>Перчатки (варежки)   (малая закупка)</t>
  </si>
  <si>
    <t>Полотенце   (малая закупка)</t>
  </si>
  <si>
    <t>Сумка коляска</t>
  </si>
  <si>
    <t>Сумка хозяйственная</t>
  </si>
  <si>
    <t>Внебюджетные средства</t>
  </si>
  <si>
    <t>Халат медицинский</t>
  </si>
  <si>
    <t>Шапочка медицинская</t>
  </si>
  <si>
    <t>Количество</t>
  </si>
  <si>
    <t>Цена</t>
  </si>
  <si>
    <t>Стоимость</t>
  </si>
  <si>
    <t>Ручки  синие  гелевые (шт)</t>
  </si>
  <si>
    <t>Ручки шариковые синие (шт)</t>
  </si>
  <si>
    <t>Стержни синие (шт)</t>
  </si>
  <si>
    <t>Карандаши чернографитные с ластиком  (шт)</t>
  </si>
  <si>
    <t>Клей-карандаш (шт)</t>
  </si>
  <si>
    <t>Ластик (шт)</t>
  </si>
  <si>
    <t>Точилка с контейнером (шт)</t>
  </si>
  <si>
    <t>Тетради А5 (96л) (шт)</t>
  </si>
  <si>
    <t>Тетради А5 (24л) (шт)</t>
  </si>
  <si>
    <t xml:space="preserve">Обложки А5 (шт) </t>
  </si>
  <si>
    <t>Тетради А4 (96л)</t>
  </si>
  <si>
    <t>Линейка 30 см</t>
  </si>
  <si>
    <t>Блокнот А5 в клетку (146*205мм) 60л., на спирали</t>
  </si>
  <si>
    <t>Папка-конверт на кнопке (шт)</t>
  </si>
  <si>
    <t>Папка на молнии (шт)</t>
  </si>
  <si>
    <t>Уголок пластиковый (шт)</t>
  </si>
  <si>
    <t>Файлы (1 упаковка-100 шт)</t>
  </si>
  <si>
    <t>Скотч широкий (шт)</t>
  </si>
  <si>
    <t>Текстовыделитель (1 цвет) (шт)</t>
  </si>
  <si>
    <t>Блок для записей цветной (шт)</t>
  </si>
  <si>
    <t>уп</t>
  </si>
  <si>
    <t>Ножницы канцелярские</t>
  </si>
  <si>
    <t>Степлер №24/6</t>
  </si>
  <si>
    <t>Скобы №24/6</t>
  </si>
  <si>
    <t>Набор текстовыделителей (ассорти, 4 шт)</t>
  </si>
  <si>
    <t>Бумага для ксерокса (500л) (шт)</t>
  </si>
  <si>
    <t>ИТОГО</t>
  </si>
  <si>
    <t xml:space="preserve"> Приобритение мыла туалетного</t>
  </si>
  <si>
    <t xml:space="preserve">Итого </t>
  </si>
  <si>
    <t>Поставка ГСМ</t>
  </si>
  <si>
    <t>литр</t>
  </si>
  <si>
    <t>Аккумулятор в автомобиль</t>
  </si>
  <si>
    <t>Технический осмотр и ремонт автомобиля (Газель Н 426 НВ)</t>
  </si>
  <si>
    <t>услуга</t>
  </si>
  <si>
    <t>ТО авто Газель Н 426 НВ</t>
  </si>
  <si>
    <t>Шиномонтаж Газель Н 426 НВ</t>
  </si>
  <si>
    <t>Шиномонтаж Газель Е 477 АЕ</t>
  </si>
  <si>
    <t>Страхование автомобиля  (Газель Н 426 НВ)</t>
  </si>
  <si>
    <t>Технический осмотр автомобилей (механик) Газель Н 426 НВ</t>
  </si>
  <si>
    <t>день</t>
  </si>
  <si>
    <t>единица измерения</t>
  </si>
  <si>
    <t>Из средств местного бюджета</t>
  </si>
  <si>
    <t>Техническое обслуживание пожарной сигнализации</t>
  </si>
  <si>
    <t xml:space="preserve">обслуживание электрохозяйства </t>
  </si>
  <si>
    <t>Проверка вентканалов и дымоходов</t>
  </si>
  <si>
    <t>Техническое обслуживание газооборудования</t>
  </si>
  <si>
    <t>Инструктаж лиц, ответственных за безопастную эксплуатацию газового оборудования</t>
  </si>
  <si>
    <t>Текущий ремонт помещений МБУ АР "ЦСОГПВиИ"</t>
  </si>
  <si>
    <t>Обслуживание сплит систем</t>
  </si>
  <si>
    <t>Обслуживание отопительных систем  систем</t>
  </si>
  <si>
    <t>месяц</t>
  </si>
  <si>
    <t>Дератизация и дезинфекция</t>
  </si>
  <si>
    <t>Дератизация</t>
  </si>
  <si>
    <t>услуги охраны</t>
  </si>
  <si>
    <t>Услуги охраны (охранник)</t>
  </si>
  <si>
    <t>договор</t>
  </si>
  <si>
    <t>обслуживание тревожной сигнализации</t>
  </si>
  <si>
    <t>Газ поставка+ транспортировка</t>
  </si>
  <si>
    <t>тыс.м3</t>
  </si>
  <si>
    <t>Водоснабжение</t>
  </si>
  <si>
    <t>м3</t>
  </si>
  <si>
    <t>ЖБО</t>
  </si>
  <si>
    <t>Электроэнергия</t>
  </si>
  <si>
    <t>к.Вт.ч</t>
  </si>
  <si>
    <t>ТКО</t>
  </si>
  <si>
    <t xml:space="preserve">Обучение работников </t>
  </si>
  <si>
    <t>человек</t>
  </si>
  <si>
    <t>Медико профилактическая помощь (медицинская сестра)</t>
  </si>
  <si>
    <t>Организация социального сопровождения и социального обслуживания детей инвалидов (медицинская сестра)</t>
  </si>
  <si>
    <t>Оказание первой помощи (социальные работники)</t>
  </si>
  <si>
    <t>Итого обучение</t>
  </si>
  <si>
    <t>Договор подряда (стирка,утюжка белья)</t>
  </si>
  <si>
    <t>Ноутбук</t>
  </si>
  <si>
    <t>Велосипеды</t>
  </si>
  <si>
    <t>медосмотр  192 человек (187 социальных работников и 5 медицинских сестер )</t>
  </si>
  <si>
    <t>медосмотр предварительный 7  человек</t>
  </si>
  <si>
    <t>Проезд на транспорте общего пользования работников социального обслуживания в том числе:</t>
  </si>
  <si>
    <t>Сопровождение программы "Учет клиентов ЦСО", "Учет услуг ЦСО"</t>
  </si>
  <si>
    <t>квартал</t>
  </si>
  <si>
    <t>Обслуживание Сайта МБУ АР "ЦСОГПВиИ"</t>
  </si>
  <si>
    <t>Предрейсовый осмотр</t>
  </si>
  <si>
    <t>дни</t>
  </si>
  <si>
    <t xml:space="preserve">Послерейсовый осмотр </t>
  </si>
  <si>
    <t>Услуги в области информационных технологий:  программа 1С предприятие 8,2</t>
  </si>
  <si>
    <t>час</t>
  </si>
  <si>
    <t>РОСТА  деловая почта випнет</t>
  </si>
  <si>
    <t>Обучение работников :</t>
  </si>
  <si>
    <t>Организация социального сопровождения и социального обслуживания детей инвалидов</t>
  </si>
  <si>
    <t xml:space="preserve">Определение потребности граждан в социальном обслуживании </t>
  </si>
  <si>
    <t>Управление учреждением социального обслуживания</t>
  </si>
  <si>
    <t>Антисептик-гель для рук 100 мл АЛМАДЕЗ</t>
  </si>
  <si>
    <t>Норма бензина  в зимний период на 100 км</t>
  </si>
  <si>
    <t>л</t>
  </si>
  <si>
    <t>Норма бензина  в летний период на 100 км</t>
  </si>
  <si>
    <t>Всего бензина ( цена 1 л.руб  Х к-во )</t>
  </si>
  <si>
    <t>Шиномонтаж Рено логан</t>
  </si>
  <si>
    <t>Страхование автомобиля Рено логан</t>
  </si>
  <si>
    <t>расходы на оплату труда и начисления на выплаты по оплате труда управленческого персонала</t>
  </si>
  <si>
    <t>общехозяйственные расходы, необходимые для обеспечения собственных нужд поставщика социальных услуг</t>
  </si>
  <si>
    <t>Сумма</t>
  </si>
  <si>
    <t>Медицинский осмотр  работников ( 27 человек )</t>
  </si>
  <si>
    <t>медосмотр предварительный  2  человека  АУП</t>
  </si>
  <si>
    <t>Пожарно-технический минимум</t>
  </si>
  <si>
    <t>Бухгалтерский учет по новым федеральным стандартам</t>
  </si>
  <si>
    <t xml:space="preserve">Противопожарная профилактика </t>
  </si>
  <si>
    <t xml:space="preserve">Обучение в сфере закупок </t>
  </si>
  <si>
    <t>Обучение по охране труда</t>
  </si>
  <si>
    <t>Система Дело</t>
  </si>
  <si>
    <t>Система Госфинансы</t>
  </si>
  <si>
    <t>Текущий ремонт и обслуживание оргтехники, заправка  картриджей:</t>
  </si>
  <si>
    <t>Заправка картриджа к принтеру  Canon 728 ( инв. № 00000000000000001215)</t>
  </si>
  <si>
    <t>Заправка картриджа Samsung MLT D111S c чипом ( инв. № 410311000000055)</t>
  </si>
  <si>
    <t xml:space="preserve">Заправка  картриджа к принтеру HP LaserJet 35А/36А 
(инв. № 00000000000000001101)
</t>
  </si>
  <si>
    <t>Заправка картриджа KYOCERA Mita TK-6115 c чипом  (инв. № 410311000000199)</t>
  </si>
  <si>
    <t>Восстановление картриджа HP LaserJet 35А/36А (инв. № 0000000000000000102)</t>
  </si>
  <si>
    <t>Ремонт сервера AMD F4-5300x2FM2/4Gb/2xN\HDD SATA 500Gb (инв.номер 000000000000000000000000001306 )</t>
  </si>
  <si>
    <t>Замена АКБ в блоке бесперебойного питания (инв. № 00000000000000001351)</t>
  </si>
  <si>
    <t xml:space="preserve">Настройка электронной цифровой подписи в системе электронного документооборота и делопроизводства «Дело»  </t>
  </si>
  <si>
    <t>Генерация сертификата электронной цифровой подписи на компьютере DELL Vostro 3470 (инв. № 410311000000250 )</t>
  </si>
  <si>
    <t>Установка сертификата и настройка прав доступа к компьютеру DELL Vostro 3470 (инв. № 410311000000250 )</t>
  </si>
  <si>
    <t>Установка электронных цифровых подписей на портале zakupki.gov.ru</t>
  </si>
  <si>
    <t>Настройка браузера на компьютерах (инв. № 410311000000250, инв.номер 410311000000248)</t>
  </si>
  <si>
    <t>Диагностика Принтер НР Р 1505 (касса) (инв. номер 00000000000000001101)</t>
  </si>
  <si>
    <t>Установка программного обеспечения к компьютеру (инв. № 410311000000250, инв.номер 410311000000248 )</t>
  </si>
  <si>
    <t xml:space="preserve">Установка сертификата к электронной цифровой подписи </t>
  </si>
  <si>
    <t>Настройка роутера, обжим кабеля RG-45</t>
  </si>
  <si>
    <t>Восстановление картриджа Samsung MLT D111S c чипом ( инв. № 410311000000055)</t>
  </si>
  <si>
    <t>Заправка картриджа к принтеру  Canon 712 ( инв. № 00000000000000001084)</t>
  </si>
  <si>
    <t>Удаленное администрирование (установка программного обеспечения СУФД)</t>
  </si>
  <si>
    <t>Заправка картриджа к принтеру  Canon 728</t>
  </si>
  <si>
    <t>Заправка картриджа Kyocera Mita TK-6115 с чипом</t>
  </si>
  <si>
    <t>Заправка картриджа Samsung MLT D111S с чипом</t>
  </si>
  <si>
    <t>Генерация сертификата ЭЦП</t>
  </si>
  <si>
    <t>Распределение ролей и прав пользователей</t>
  </si>
  <si>
    <t>Ремонт системного блока</t>
  </si>
  <si>
    <t>Восстановление  картриджа к принтеру  Canon 728 без заправки</t>
  </si>
  <si>
    <t>Заправка картриджа HP LazerJet 85А</t>
  </si>
  <si>
    <t>Установка драйверов на компьютер</t>
  </si>
  <si>
    <t>Ремонт  монитора Viewsonic</t>
  </si>
  <si>
    <t>Заправка картриджа  Canon728</t>
  </si>
  <si>
    <t>Заправка картриджа Samsung MLT D 111S c чипом</t>
  </si>
  <si>
    <t>Заправка картриджа Kyocera Mita TK-6115 c чипом.</t>
  </si>
  <si>
    <t>Оплата договоров на подписку периодической литературы (газеты, журналы) на 2 половину 2022 года и первую половину 2023 года</t>
  </si>
  <si>
    <t>Российская газета</t>
  </si>
  <si>
    <t>комплект</t>
  </si>
  <si>
    <t>Газета "Молот"</t>
  </si>
  <si>
    <t>Газета "Победа"</t>
  </si>
  <si>
    <t>Газета "Наше время"</t>
  </si>
  <si>
    <t>Журнал "Социальное обслуживание"</t>
  </si>
  <si>
    <t>Журнал "Работник социальной службы"</t>
  </si>
  <si>
    <t>Ручки черные гелевые (шт)</t>
  </si>
  <si>
    <t>Ручки красные гелевые (шт)</t>
  </si>
  <si>
    <t>шт.</t>
  </si>
  <si>
    <t>Скрепки большие (упаковка)</t>
  </si>
  <si>
    <t>Скрепки маленькие  (упаковка)</t>
  </si>
  <si>
    <t>Скотч узкий (шт)</t>
  </si>
  <si>
    <t>Бумага писчая в клетку А4 (шт)</t>
  </si>
  <si>
    <t>Папка скоросшиватель пластиковая (шт)</t>
  </si>
  <si>
    <t>Скобы № 10/6</t>
  </si>
  <si>
    <t>Папка регистратор 50 мм</t>
  </si>
  <si>
    <t>Папка регистратор 80 мм</t>
  </si>
  <si>
    <t>Маска медицинская одноразовая комплект 100 шт.</t>
  </si>
  <si>
    <t xml:space="preserve">Бахилы КОМПЛЕКТ 100 шт в упаковке, ПРОЧНЫЕ </t>
  </si>
  <si>
    <t xml:space="preserve">Маски одноразовые (комплект 50 шт.), 3-х слойные </t>
  </si>
  <si>
    <t>Полотенца бумажные, 2-х слойные ЛАЙМА</t>
  </si>
  <si>
    <t xml:space="preserve">Бахилы Лайма 100 шт в упаковке </t>
  </si>
  <si>
    <t xml:space="preserve">Бумага туалетная "ЛАЙМА", белая, 2-х слойная, спайка 24 шт. </t>
  </si>
  <si>
    <t>Мышь проводная оптическая SONNEN M-201</t>
  </si>
  <si>
    <t xml:space="preserve">Фотобумага PREMIUM 10*15, 50 л., суперглянц, одностор. </t>
  </si>
  <si>
    <t>Фотобумага LOMOND А4, 50 л., глянц, одностор.</t>
  </si>
  <si>
    <t xml:space="preserve">Мешки для мусора  60 л. </t>
  </si>
  <si>
    <t>Салфетки бумажные 100шт, ЛАЙМА</t>
  </si>
  <si>
    <t xml:space="preserve">Ср-во для мытья пола и стен 500мл. МР.ПРОПЕР ЛИМОН </t>
  </si>
  <si>
    <t xml:space="preserve">Ср-во для мытья посуды 450 мл, SORTI </t>
  </si>
  <si>
    <t>Ср-во для уборки ТУАЛЕТА 500мл. ТУАЛЕТНЫЙ УТЕНОК</t>
  </si>
  <si>
    <t>Ср-во для удаления ржавчины и налета CILLIT</t>
  </si>
  <si>
    <t xml:space="preserve">Ср-во для чистки ковров VANICH </t>
  </si>
  <si>
    <t xml:space="preserve">Стиральный порошок - автомат  МИФ Морозная свежесть 400гр. </t>
  </si>
  <si>
    <t xml:space="preserve">Тряпка для мытья пола из микрофибры. </t>
  </si>
  <si>
    <t xml:space="preserve">Чистящ.средство ПЕМОЛЮКС СОДА5 Лимон </t>
  </si>
  <si>
    <t xml:space="preserve">Бахилы Лайма 100 шт в упаковке 50 пар </t>
  </si>
  <si>
    <t xml:space="preserve">Веник "Сорго" </t>
  </si>
  <si>
    <t xml:space="preserve">Конвенрт С4 </t>
  </si>
  <si>
    <t xml:space="preserve">Мешки для мусора черные </t>
  </si>
  <si>
    <t xml:space="preserve">Планинг датированный </t>
  </si>
  <si>
    <t xml:space="preserve">Полотенца бумажные бытовые, белые </t>
  </si>
  <si>
    <t>Салфетки бумажные 100шт.</t>
  </si>
  <si>
    <t>Средство для мытья посуды 900мл.</t>
  </si>
  <si>
    <t>Маски одноразовые (комплект 100 шт.), 3-х слойные</t>
  </si>
  <si>
    <t>Перчатки виниловые 50 пар (100шт)  .размер L, белые</t>
  </si>
  <si>
    <t xml:space="preserve">Папки - файлы перфорированные, А4, BRAUNBERG комплект 100 шт. </t>
  </si>
  <si>
    <t xml:space="preserve">Губки бытовые для посуды КОМПЛЕКТ 10 шт. </t>
  </si>
  <si>
    <t>Мешки для мусора 120л.</t>
  </si>
  <si>
    <t xml:space="preserve">Полироль для мебели  300мл CHIRTON </t>
  </si>
  <si>
    <t xml:space="preserve">Полотенца бумажные, 2-х слойные ЛАЙМА  </t>
  </si>
  <si>
    <t xml:space="preserve">Салфетки унтверсальные в рулоне 30 шт. 25*30 см </t>
  </si>
  <si>
    <t xml:space="preserve">Салфетки универсальные КОМПЛЕКТ 3шт., </t>
  </si>
  <si>
    <t>Ср-во для мытья посуды 450 мл, SORTI</t>
  </si>
  <si>
    <t>Ср-во для мытья стекол ЛАЙМА</t>
  </si>
  <si>
    <t xml:space="preserve">Калькулятор настольный Brauberg, черный </t>
  </si>
  <si>
    <t xml:space="preserve">Шпагат Brauberg полипроп., длина 500м </t>
  </si>
  <si>
    <t xml:space="preserve">Полотенца бумажные, 2-х слойные ЛАЙМА </t>
  </si>
  <si>
    <t xml:space="preserve">Салфетки бумажные 100шт, ЛАЙМА </t>
  </si>
  <si>
    <t xml:space="preserve">АМТС по Ростовской области , Услуги Интернет по тарифному плану "Бизнес быть 1024"                                           </t>
  </si>
  <si>
    <t>мес</t>
  </si>
  <si>
    <t>Отправка почтовой корреспонденции</t>
  </si>
  <si>
    <t>штука</t>
  </si>
  <si>
    <t>расходы на оплату труда и начисления на выплаты по оплате труда</t>
  </si>
  <si>
    <t>Приложение № 4</t>
  </si>
  <si>
    <t xml:space="preserve">Значения базового норматива затрат на оказание муниципальной услуги </t>
  </si>
  <si>
    <t>суммы затрат на коммунальные услуги и содержание недвижимого имущества, необходимого для выполнения муниципального задания на оказание муниципальной услуги.</t>
  </si>
  <si>
    <t>Всего базовый норматив затрат на оказание муниципальной услуги</t>
  </si>
  <si>
    <r>
      <t>N</t>
    </r>
    <r>
      <rPr>
        <vertAlign val="superscript"/>
        <sz val="14"/>
        <color rgb="FF000000"/>
        <rFont val="Times New Roman"/>
        <family val="1"/>
        <charset val="204"/>
      </rPr>
      <t>yH</t>
    </r>
    <r>
      <rPr>
        <sz val="14"/>
        <color rgb="FF000000"/>
        <rFont val="Times New Roman"/>
        <family val="1"/>
        <charset val="204"/>
      </rPr>
      <t xml:space="preserve"> - затраты на уплату налогов, в качестве объекта налогообложения по которым признается имущество учреждения.</t>
    </r>
  </si>
  <si>
    <t xml:space="preserve">Внебюджетные средства </t>
  </si>
  <si>
    <t>за счет средств областного бюджета</t>
  </si>
  <si>
    <t>за счет внебюджетных средств</t>
  </si>
  <si>
    <t>за счет средств местного бюджета</t>
  </si>
  <si>
    <t>Подушевой норматив финансирования  прямых и косвенных расходов на предоставление социальной услуги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</si>
  <si>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</si>
  <si>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Прямые расходы на предоставление социальных услуг  зависящие от численности получателей социальных услуг расходы,                                                                                                                                                                  непосредственно связанные с предоставлением социальной услуги ее получателю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</si>
  <si>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</si>
  <si>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 xml:space="preserve">с учетом действующей оплаты труда заработной платы в 2022 г. </t>
  </si>
  <si>
    <t xml:space="preserve"> начисления на выплаты по оплате труда персонала за предыдущий год.</t>
  </si>
  <si>
    <t>Всего  косвенные расходы</t>
  </si>
  <si>
    <t>Всего :</t>
  </si>
  <si>
    <t>Всего:</t>
  </si>
  <si>
    <t>общехозяйственные расходы</t>
  </si>
  <si>
    <t xml:space="preserve">расчет составлен по данным МБУ АР "ЦСОГПВиИ" </t>
  </si>
  <si>
    <t>Всего по душевому нормативу финансирования  прямых и косвенных расходов на предоставление                                                                                                                                                                                              социальной услуги</t>
  </si>
  <si>
    <t>Всего   прямых расходов</t>
  </si>
  <si>
    <t>Общехозяйственные расходы, необходимые для обеспечения собственных нужд поставщика социальных услуг</t>
  </si>
  <si>
    <t>Косвенные расходы на предоставление социальных услуг относятся необходимые для предоставления социальной   услуги расходы,  которые нельзя учесть в себестоимости социальных услуг методом прямого счета (поскольку они  не зависят от численности получателей социальных услуг)</t>
  </si>
  <si>
    <t>Расходы на оплату труда и начисления на выплаты по оплате труда персонала, предоставляющего социальную услугу</t>
  </si>
  <si>
    <t>Прочие расходы, непосредственно связанные с предоставлением социальной услуги.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</si>
  <si>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</t>
  </si>
  <si>
    <t>Объем  финансового обеспечения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2024 год</t>
  </si>
  <si>
    <t xml:space="preserve">по предоставлению социального обслуживания в форме на дому, включая оказание социально-бытовых услуг,                                                                                                                                                                                                                                                                   социально-медицинских услуг, социально-психологических услуг, социально-педагогических услуг, социально-трудовых услуг, социально-правовых услуг,                                                                                                                                                                                              услуг в целях повышения коммуникативного потенциала получателей социальных услуг, имеющих ограничения жизнедеятельности, в том числе детей-инвалидов,                                                                                                                                                                                                   срочных    социальных    услуг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2022 год и плановый период 2023 и 2024 годов </t>
  </si>
  <si>
    <t>суммы затрат на оплату труда с начислениями на выплаты по оплате труда работников, непосредственно связанных с оказанием муниципальной услуги, включая административно-управленческий персонал</t>
  </si>
  <si>
    <t>расходы на оплату труда и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</si>
  <si>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 xml:space="preserve"> начисления на выплаты по оплате труда персонала, предоставляющего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</si>
  <si>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Внебюджетные средства поставка ГСМ, аккумулятор, масло моторное</t>
  </si>
  <si>
    <t>прочие расходы, непосредственно связанные с предоставлением социальной услуги.</t>
  </si>
  <si>
    <t>244 ест</t>
  </si>
  <si>
    <t>244 надо</t>
  </si>
  <si>
    <t>расходы на оплату труда управленческого персонала,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</si>
  <si>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начисления на заработную плату,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год.</t>
  </si>
  <si>
    <t>Косвенные расходы на предоставление социальных услуг относятся необходимые для предоставления социальной услуги расходы,                                                                                                                                       которые нельзя учесть в себестоимости социальных услуг методом прямого счета (поскольку они не зависят от численности                                                                                                                                                   получателей социальных услуг)</t>
  </si>
  <si>
    <t>расходы на оплату труда управленческого персонала, определяемые исходя из количества единиц                                                                                                                                                                                                   по штатному расписанию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 учетом действующей системы оплаты труда и фактических начислений за предыдущий год.</t>
  </si>
  <si>
    <t>расходы на оплату труда персонала, предоставляющего i-ю социальную услугу, определяемые исходя из количества единиц по штатному расписанию с учетом действующей системы оплаты труда и фактических начислений за предыдущий год</t>
  </si>
  <si>
    <t>Общехозяйственные расходы, непосредственно связанные с предоставлением социальной услуги ее получателю                                                                                                                                                                        (расходы на оказание услуг связи, коммунальных и транспортных услуг, материальные затраты и др.)</t>
  </si>
  <si>
    <t>на 2023 год</t>
  </si>
  <si>
    <t>на 2022 год</t>
  </si>
  <si>
    <t>на 2024 год</t>
  </si>
  <si>
    <t>Косвенные расходы на предоставление социальных услуг относятся необходимые для предоставления социальной услуги расходы, которые нельзя                                                                                                            учесть в себестоимости социальных услуг методом прямого счета (поскольку они не зависят от численности получателей социальных услуг)</t>
  </si>
  <si>
    <t>Расходы на оплату труда и начисления на выплаты по оплате труда управленческого персонала</t>
  </si>
  <si>
    <t>Приложение № 3</t>
  </si>
  <si>
    <t xml:space="preserve"> Величина прямых расходов на предоставление i-й социальной услуги (P ) рассчитывается  по формуле:</t>
  </si>
  <si>
    <t>ОХ p= Зу  + Зк  + Зм  + Зт  + Зп ,</t>
  </si>
  <si>
    <t>З у - расходы на оказание услуг связи;</t>
  </si>
  <si>
    <t>З к - расходы на оказание коммунальных услуг;</t>
  </si>
  <si>
    <t>З м - материальные затраты;</t>
  </si>
  <si>
    <t>З т - расходы на оказание транспортных услуг;</t>
  </si>
  <si>
    <t>З п - прочие расходы.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</si>
</sst>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"/>
    <numFmt numFmtId="165" formatCode="#,##0.000"/>
    <numFmt numFmtId="166" formatCode="#,##0.00000"/>
    <numFmt numFmtId="167" formatCode="0.00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8"/>
      <color theme="1"/>
      <name val="PT Serif"/>
      <family val="1"/>
      <charset val="204"/>
    </font>
    <font>
      <sz val="13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vertAlign val="superscript"/>
      <sz val="14"/>
      <color rgb="FF000000"/>
      <name val="Times New Roman"/>
      <family val="1"/>
      <charset val="204"/>
    </font>
    <font>
      <b/>
      <sz val="12"/>
      <color rgb="FF000000"/>
      <name val="PT Serif"/>
      <family val="1"/>
      <charset val="204"/>
    </font>
    <font>
      <b/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1"/>
    </font>
    <font>
      <sz val="10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12"/>
      <name val="Cambria"/>
      <family val="1"/>
      <charset val="204"/>
    </font>
    <font>
      <sz val="8"/>
      <name val="Times New Roman"/>
      <family val="1"/>
      <charset val="204"/>
    </font>
    <font>
      <b/>
      <sz val="9"/>
      <color rgb="FF000000"/>
      <name val="Tahoma"/>
      <family val="2"/>
      <charset val="204"/>
    </font>
    <font>
      <sz val="14"/>
      <color theme="1"/>
      <name val="Calibri"/>
      <family val="2"/>
      <scheme val="minor"/>
    </font>
    <font>
      <vertAlign val="superscript"/>
      <sz val="14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color rgb="FF000000"/>
      <name val="PT Serif"/>
      <family val="1"/>
      <charset val="204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C99"/>
        <bgColor rgb="FFFFCCCC"/>
      </patternFill>
    </fill>
    <fill>
      <patternFill patternType="solid">
        <fgColor rgb="FFFFFF00"/>
        <bgColor indexed="64"/>
      </patternFill>
    </fill>
    <fill>
      <patternFill patternType="solid">
        <fgColor rgb="FFFFCCCC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5" fillId="0" borderId="0"/>
    <xf numFmtId="0" fontId="26" fillId="0" borderId="0"/>
  </cellStyleXfs>
  <cellXfs count="340">
    <xf numFmtId="0" fontId="0" fillId="0" borderId="0" xfId="0"/>
    <xf numFmtId="4" fontId="0" fillId="0" borderId="0" xfId="0" applyNumberFormat="1"/>
    <xf numFmtId="2" fontId="0" fillId="0" borderId="0" xfId="0" applyNumberFormat="1"/>
    <xf numFmtId="165" fontId="0" fillId="0" borderId="0" xfId="0" applyNumberFormat="1"/>
    <xf numFmtId="0" fontId="4" fillId="0" borderId="0" xfId="0" applyFont="1"/>
    <xf numFmtId="0" fontId="5" fillId="0" borderId="0" xfId="0" applyFont="1"/>
    <xf numFmtId="0" fontId="0" fillId="0" borderId="0" xfId="0" applyAlignment="1">
      <alignment wrapText="1"/>
    </xf>
    <xf numFmtId="0" fontId="6" fillId="0" borderId="0" xfId="0" applyFont="1"/>
    <xf numFmtId="4" fontId="5" fillId="0" borderId="0" xfId="0" applyNumberFormat="1" applyFont="1"/>
    <xf numFmtId="0" fontId="11" fillId="0" borderId="0" xfId="0" applyFont="1"/>
    <xf numFmtId="4" fontId="7" fillId="0" borderId="0" xfId="0" applyNumberFormat="1" applyFont="1"/>
    <xf numFmtId="2" fontId="5" fillId="0" borderId="0" xfId="0" applyNumberFormat="1" applyFont="1"/>
    <xf numFmtId="0" fontId="14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" fontId="11" fillId="0" borderId="0" xfId="0" applyNumberFormat="1" applyFont="1"/>
    <xf numFmtId="0" fontId="0" fillId="0" borderId="2" xfId="0" applyBorder="1"/>
    <xf numFmtId="0" fontId="2" fillId="0" borderId="3" xfId="0" applyFont="1" applyBorder="1"/>
    <xf numFmtId="0" fontId="0" fillId="0" borderId="3" xfId="0" applyBorder="1"/>
    <xf numFmtId="0" fontId="2" fillId="0" borderId="0" xfId="0" applyFont="1"/>
    <xf numFmtId="0" fontId="11" fillId="0" borderId="1" xfId="0" applyFont="1" applyBorder="1" applyAlignment="1">
      <alignment horizontal="center" wrapText="1"/>
    </xf>
    <xf numFmtId="0" fontId="5" fillId="0" borderId="1" xfId="0" applyFont="1" applyBorder="1"/>
    <xf numFmtId="4" fontId="11" fillId="0" borderId="1" xfId="0" applyNumberFormat="1" applyFont="1" applyBorder="1"/>
    <xf numFmtId="0" fontId="11" fillId="0" borderId="1" xfId="0" applyFont="1" applyBorder="1"/>
    <xf numFmtId="164" fontId="5" fillId="0" borderId="0" xfId="0" applyNumberFormat="1" applyFont="1"/>
    <xf numFmtId="166" fontId="5" fillId="0" borderId="0" xfId="0" applyNumberFormat="1" applyFont="1"/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indent="15"/>
    </xf>
    <xf numFmtId="0" fontId="2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 applyAlignment="1">
      <alignment horizontal="center"/>
    </xf>
    <xf numFmtId="0" fontId="11" fillId="0" borderId="2" xfId="0" applyFont="1" applyBorder="1" applyAlignment="1">
      <alignment horizontal="center" wrapText="1"/>
    </xf>
    <xf numFmtId="0" fontId="5" fillId="0" borderId="2" xfId="0" applyFont="1" applyBorder="1"/>
    <xf numFmtId="4" fontId="11" fillId="0" borderId="2" xfId="0" applyNumberFormat="1" applyFont="1" applyBorder="1"/>
    <xf numFmtId="0" fontId="17" fillId="0" borderId="2" xfId="0" applyFont="1" applyBorder="1" applyAlignment="1">
      <alignment horizontal="justify" vertical="center" wrapText="1"/>
    </xf>
    <xf numFmtId="0" fontId="5" fillId="0" borderId="3" xfId="0" applyFont="1" applyBorder="1"/>
    <xf numFmtId="0" fontId="11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0" fillId="0" borderId="0" xfId="0" applyAlignment="1">
      <alignment horizontal="center"/>
    </xf>
    <xf numFmtId="0" fontId="9" fillId="0" borderId="1" xfId="0" applyFont="1" applyBorder="1"/>
    <xf numFmtId="0" fontId="3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4" fontId="0" fillId="0" borderId="1" xfId="0" applyNumberFormat="1" applyBorder="1"/>
    <xf numFmtId="0" fontId="0" fillId="0" borderId="1" xfId="0" applyBorder="1"/>
    <xf numFmtId="4" fontId="0" fillId="0" borderId="2" xfId="0" applyNumberFormat="1" applyBorder="1"/>
    <xf numFmtId="4" fontId="3" fillId="0" borderId="1" xfId="0" applyNumberFormat="1" applyFont="1" applyBorder="1"/>
    <xf numFmtId="0" fontId="21" fillId="0" borderId="5" xfId="0" applyFont="1" applyBorder="1" applyAlignment="1">
      <alignment horizontal="center" wrapText="1"/>
    </xf>
    <xf numFmtId="2" fontId="21" fillId="0" borderId="2" xfId="0" applyNumberFormat="1" applyFont="1" applyBorder="1" applyAlignment="1">
      <alignment horizontal="center" wrapText="1"/>
    </xf>
    <xf numFmtId="0" fontId="20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22" fillId="0" borderId="1" xfId="0" applyFont="1" applyBorder="1"/>
    <xf numFmtId="2" fontId="22" fillId="0" borderId="1" xfId="0" applyNumberFormat="1" applyFont="1" applyBorder="1"/>
    <xf numFmtId="4" fontId="22" fillId="0" borderId="1" xfId="0" applyNumberFormat="1" applyFont="1" applyBorder="1"/>
    <xf numFmtId="4" fontId="22" fillId="0" borderId="2" xfId="0" applyNumberFormat="1" applyFont="1" applyBorder="1"/>
    <xf numFmtId="0" fontId="22" fillId="0" borderId="6" xfId="0" applyFont="1" applyBorder="1"/>
    <xf numFmtId="0" fontId="22" fillId="0" borderId="4" xfId="0" applyFont="1" applyBorder="1"/>
    <xf numFmtId="4" fontId="23" fillId="0" borderId="1" xfId="0" applyNumberFormat="1" applyFont="1" applyBorder="1"/>
    <xf numFmtId="0" fontId="24" fillId="0" borderId="1" xfId="0" applyFont="1" applyBorder="1" applyAlignment="1">
      <alignment horizontal="justify" vertical="center" wrapText="1"/>
    </xf>
    <xf numFmtId="0" fontId="24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horizontal="right" vertical="center"/>
    </xf>
    <xf numFmtId="2" fontId="24" fillId="0" borderId="1" xfId="0" applyNumberFormat="1" applyFont="1" applyBorder="1" applyAlignment="1">
      <alignment horizontal="right" vertical="center"/>
    </xf>
    <xf numFmtId="0" fontId="24" fillId="0" borderId="6" xfId="0" applyFont="1" applyBorder="1" applyAlignment="1">
      <alignment horizontal="justify" vertical="center" wrapText="1"/>
    </xf>
    <xf numFmtId="4" fontId="23" fillId="0" borderId="2" xfId="0" applyNumberFormat="1" applyFont="1" applyBorder="1"/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0" borderId="2" xfId="0" applyFont="1" applyBorder="1" applyAlignment="1">
      <alignment horizontal="center"/>
    </xf>
    <xf numFmtId="0" fontId="16" fillId="0" borderId="1" xfId="0" applyFont="1" applyBorder="1"/>
    <xf numFmtId="0" fontId="22" fillId="0" borderId="7" xfId="0" applyFont="1" applyBorder="1" applyAlignment="1">
      <alignment horizontal="center" vertical="top"/>
    </xf>
    <xf numFmtId="2" fontId="12" fillId="0" borderId="1" xfId="0" applyNumberFormat="1" applyFont="1" applyBorder="1"/>
    <xf numFmtId="4" fontId="12" fillId="0" borderId="1" xfId="0" applyNumberFormat="1" applyFont="1" applyBorder="1"/>
    <xf numFmtId="4" fontId="12" fillId="0" borderId="2" xfId="0" applyNumberFormat="1" applyFont="1" applyBorder="1"/>
    <xf numFmtId="4" fontId="12" fillId="0" borderId="0" xfId="0" applyNumberFormat="1" applyFont="1"/>
    <xf numFmtId="0" fontId="12" fillId="0" borderId="1" xfId="0" applyFont="1" applyBorder="1"/>
    <xf numFmtId="4" fontId="9" fillId="0" borderId="1" xfId="0" applyNumberFormat="1" applyFont="1" applyBorder="1"/>
    <xf numFmtId="4" fontId="9" fillId="0" borderId="2" xfId="0" applyNumberFormat="1" applyFont="1" applyBorder="1"/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 wrapText="1"/>
    </xf>
    <xf numFmtId="4" fontId="24" fillId="0" borderId="2" xfId="0" applyNumberFormat="1" applyFont="1" applyBorder="1" applyAlignment="1">
      <alignment horizontal="center" vertical="center"/>
    </xf>
    <xf numFmtId="4" fontId="24" fillId="0" borderId="1" xfId="0" applyNumberFormat="1" applyFont="1" applyBorder="1" applyAlignment="1">
      <alignment vertical="center"/>
    </xf>
    <xf numFmtId="0" fontId="24" fillId="0" borderId="4" xfId="0" applyFont="1" applyBorder="1" applyAlignment="1">
      <alignment horizontal="center" vertical="center" wrapText="1"/>
    </xf>
    <xf numFmtId="4" fontId="24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/>
    </xf>
    <xf numFmtId="0" fontId="20" fillId="0" borderId="6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4" fillId="0" borderId="1" xfId="0" applyFont="1" applyBorder="1" applyAlignment="1">
      <alignment vertical="center"/>
    </xf>
    <xf numFmtId="2" fontId="24" fillId="0" borderId="1" xfId="0" applyNumberFormat="1" applyFont="1" applyBorder="1" applyAlignment="1">
      <alignment vertical="center"/>
    </xf>
    <xf numFmtId="0" fontId="24" fillId="0" borderId="2" xfId="0" applyFont="1" applyBorder="1" applyAlignment="1">
      <alignment vertical="center"/>
    </xf>
    <xf numFmtId="2" fontId="24" fillId="0" borderId="0" xfId="0" applyNumberFormat="1" applyFont="1" applyAlignment="1">
      <alignment vertical="center"/>
    </xf>
    <xf numFmtId="0" fontId="24" fillId="0" borderId="1" xfId="1" applyFont="1" applyBorder="1" applyAlignment="1">
      <alignment vertical="top" wrapText="1"/>
    </xf>
    <xf numFmtId="1" fontId="24" fillId="0" borderId="1" xfId="1" applyNumberFormat="1" applyFont="1" applyBorder="1" applyAlignment="1">
      <alignment vertical="top" wrapText="1"/>
    </xf>
    <xf numFmtId="2" fontId="24" fillId="0" borderId="1" xfId="1" applyNumberFormat="1" applyFont="1" applyBorder="1" applyAlignment="1">
      <alignment vertical="top" wrapText="1"/>
    </xf>
    <xf numFmtId="1" fontId="24" fillId="0" borderId="2" xfId="1" applyNumberFormat="1" applyFont="1" applyBorder="1" applyAlignment="1">
      <alignment vertical="top" wrapText="1"/>
    </xf>
    <xf numFmtId="2" fontId="24" fillId="0" borderId="0" xfId="1" applyNumberFormat="1" applyFont="1" applyAlignment="1">
      <alignment vertical="top" wrapText="1"/>
    </xf>
    <xf numFmtId="0" fontId="20" fillId="0" borderId="1" xfId="0" applyFont="1" applyBorder="1"/>
    <xf numFmtId="4" fontId="20" fillId="0" borderId="1" xfId="0" applyNumberFormat="1" applyFont="1" applyBorder="1"/>
    <xf numFmtId="0" fontId="24" fillId="0" borderId="1" xfId="2" applyFont="1" applyBorder="1" applyAlignment="1">
      <alignment horizontal="center" vertical="center" wrapText="1"/>
    </xf>
    <xf numFmtId="167" fontId="24" fillId="0" borderId="1" xfId="2" applyNumberFormat="1" applyFont="1" applyBorder="1" applyAlignment="1">
      <alignment horizontal="center" vertical="center"/>
    </xf>
    <xf numFmtId="4" fontId="24" fillId="0" borderId="2" xfId="2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right" vertical="center"/>
    </xf>
    <xf numFmtId="4" fontId="24" fillId="0" borderId="0" xfId="0" applyNumberFormat="1" applyFont="1" applyAlignment="1">
      <alignment horizontal="center" vertical="center"/>
    </xf>
    <xf numFmtId="0" fontId="24" fillId="0" borderId="1" xfId="0" applyFont="1" applyBorder="1" applyAlignment="1">
      <alignment vertical="center" wrapText="1"/>
    </xf>
    <xf numFmtId="0" fontId="24" fillId="0" borderId="1" xfId="2" applyFont="1" applyBorder="1" applyAlignment="1">
      <alignment horizontal="justify" vertical="center" wrapText="1"/>
    </xf>
    <xf numFmtId="0" fontId="24" fillId="0" borderId="1" xfId="2" applyFont="1" applyBorder="1" applyAlignment="1">
      <alignment horizontal="right" vertical="center"/>
    </xf>
    <xf numFmtId="4" fontId="24" fillId="0" borderId="1" xfId="2" applyNumberFormat="1" applyFont="1" applyBorder="1" applyAlignment="1">
      <alignment horizontal="center" vertical="center"/>
    </xf>
    <xf numFmtId="0" fontId="24" fillId="0" borderId="2" xfId="2" applyFont="1" applyBorder="1" applyAlignment="1">
      <alignment horizontal="right" vertical="center"/>
    </xf>
    <xf numFmtId="4" fontId="24" fillId="0" borderId="0" xfId="2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0" fontId="20" fillId="0" borderId="1" xfId="2" applyFont="1" applyBorder="1" applyAlignment="1">
      <alignment horizontal="center" vertical="center" wrapText="1"/>
    </xf>
    <xf numFmtId="0" fontId="23" fillId="0" borderId="1" xfId="2" applyFont="1" applyBorder="1" applyAlignment="1">
      <alignment horizontal="center" vertical="center"/>
    </xf>
    <xf numFmtId="0" fontId="27" fillId="0" borderId="1" xfId="2" applyFont="1" applyBorder="1" applyAlignment="1">
      <alignment horizontal="center" vertical="center" wrapText="1"/>
    </xf>
    <xf numFmtId="0" fontId="22" fillId="0" borderId="2" xfId="2" applyFont="1" applyBorder="1"/>
    <xf numFmtId="0" fontId="24" fillId="0" borderId="1" xfId="2" applyFont="1" applyBorder="1" applyAlignment="1">
      <alignment wrapText="1"/>
    </xf>
    <xf numFmtId="0" fontId="24" fillId="0" borderId="1" xfId="2" applyFont="1" applyBorder="1" applyAlignment="1">
      <alignment horizontal="center" wrapText="1"/>
    </xf>
    <xf numFmtId="0" fontId="24" fillId="0" borderId="1" xfId="2" applyFont="1" applyBorder="1"/>
    <xf numFmtId="4" fontId="24" fillId="0" borderId="1" xfId="2" applyNumberFormat="1" applyFont="1" applyBorder="1"/>
    <xf numFmtId="0" fontId="24" fillId="0" borderId="2" xfId="2" applyFont="1" applyBorder="1"/>
    <xf numFmtId="4" fontId="24" fillId="0" borderId="0" xfId="2" applyNumberFormat="1" applyFont="1"/>
    <xf numFmtId="0" fontId="24" fillId="0" borderId="1" xfId="2" applyFont="1" applyBorder="1" applyAlignment="1">
      <alignment horizontal="left" vertical="center" wrapText="1"/>
    </xf>
    <xf numFmtId="4" fontId="24" fillId="0" borderId="1" xfId="2" applyNumberFormat="1" applyFont="1" applyBorder="1" applyAlignment="1">
      <alignment horizontal="right" vertical="center"/>
    </xf>
    <xf numFmtId="4" fontId="24" fillId="0" borderId="2" xfId="2" applyNumberFormat="1" applyFont="1" applyBorder="1" applyAlignment="1">
      <alignment horizontal="right" vertical="center"/>
    </xf>
    <xf numFmtId="4" fontId="24" fillId="0" borderId="0" xfId="2" applyNumberFormat="1" applyFont="1" applyAlignment="1">
      <alignment horizontal="right" vertical="center"/>
    </xf>
    <xf numFmtId="0" fontId="20" fillId="0" borderId="1" xfId="2" applyFont="1" applyBorder="1" applyAlignment="1">
      <alignment horizontal="right" vertical="center"/>
    </xf>
    <xf numFmtId="4" fontId="20" fillId="0" borderId="1" xfId="2" applyNumberFormat="1" applyFont="1" applyBorder="1" applyAlignment="1">
      <alignment horizontal="right" vertical="center"/>
    </xf>
    <xf numFmtId="4" fontId="20" fillId="0" borderId="2" xfId="2" applyNumberFormat="1" applyFont="1" applyBorder="1" applyAlignment="1">
      <alignment horizontal="right" vertical="center"/>
    </xf>
    <xf numFmtId="4" fontId="24" fillId="0" borderId="1" xfId="0" applyNumberFormat="1" applyFont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2" fontId="20" fillId="0" borderId="1" xfId="2" applyNumberFormat="1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2" fillId="0" borderId="2" xfId="0" applyFont="1" applyBorder="1"/>
    <xf numFmtId="2" fontId="24" fillId="0" borderId="1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/>
    </xf>
    <xf numFmtId="2" fontId="24" fillId="0" borderId="0" xfId="0" applyNumberFormat="1" applyFont="1" applyAlignment="1">
      <alignment horizontal="center" vertical="center"/>
    </xf>
    <xf numFmtId="0" fontId="24" fillId="0" borderId="4" xfId="0" applyFont="1" applyBorder="1" applyAlignment="1">
      <alignment horizontal="justify"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 applyAlignment="1">
      <alignment horizontal="center" vertical="center"/>
    </xf>
    <xf numFmtId="4" fontId="20" fillId="0" borderId="2" xfId="0" applyNumberFormat="1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0" fontId="28" fillId="0" borderId="6" xfId="2" applyFont="1" applyBorder="1" applyAlignment="1">
      <alignment horizontal="center" vertical="center"/>
    </xf>
    <xf numFmtId="0" fontId="29" fillId="0" borderId="1" xfId="2" applyFont="1" applyBorder="1" applyAlignment="1">
      <alignment horizontal="left" vertical="center" wrapText="1"/>
    </xf>
    <xf numFmtId="0" fontId="29" fillId="0" borderId="1" xfId="2" applyFont="1" applyBorder="1" applyAlignment="1">
      <alignment wrapText="1"/>
    </xf>
    <xf numFmtId="0" fontId="29" fillId="0" borderId="1" xfId="2" applyFont="1" applyBorder="1"/>
    <xf numFmtId="4" fontId="29" fillId="0" borderId="1" xfId="2" applyNumberFormat="1" applyFont="1" applyBorder="1"/>
    <xf numFmtId="4" fontId="29" fillId="0" borderId="6" xfId="2" applyNumberFormat="1" applyFont="1" applyBorder="1"/>
    <xf numFmtId="0" fontId="29" fillId="0" borderId="2" xfId="2" applyFont="1" applyBorder="1"/>
    <xf numFmtId="4" fontId="29" fillId="0" borderId="0" xfId="2" applyNumberFormat="1" applyFont="1"/>
    <xf numFmtId="0" fontId="29" fillId="0" borderId="1" xfId="2" applyFont="1" applyBorder="1" applyAlignment="1">
      <alignment horizontal="justify" vertical="center" wrapText="1"/>
    </xf>
    <xf numFmtId="0" fontId="29" fillId="0" borderId="1" xfId="2" applyFont="1" applyBorder="1" applyAlignment="1">
      <alignment horizontal="center" vertical="center" wrapText="1"/>
    </xf>
    <xf numFmtId="0" fontId="29" fillId="0" borderId="1" xfId="2" applyFont="1" applyBorder="1" applyAlignment="1">
      <alignment horizontal="center" vertical="center"/>
    </xf>
    <xf numFmtId="0" fontId="24" fillId="0" borderId="1" xfId="2" applyFont="1" applyBorder="1" applyAlignment="1">
      <alignment horizontal="center" vertical="center"/>
    </xf>
    <xf numFmtId="4" fontId="24" fillId="0" borderId="6" xfId="2" applyNumberFormat="1" applyFont="1" applyBorder="1" applyAlignment="1">
      <alignment horizontal="center" vertical="center"/>
    </xf>
    <xf numFmtId="4" fontId="12" fillId="0" borderId="6" xfId="0" applyNumberFormat="1" applyFont="1" applyBorder="1"/>
    <xf numFmtId="0" fontId="12" fillId="0" borderId="2" xfId="0" applyFont="1" applyBorder="1"/>
    <xf numFmtId="0" fontId="0" fillId="0" borderId="6" xfId="0" applyBorder="1"/>
    <xf numFmtId="0" fontId="20" fillId="0" borderId="1" xfId="0" applyFont="1" applyBorder="1" applyAlignment="1">
      <alignment horizontal="justify" vertical="center" wrapText="1"/>
    </xf>
    <xf numFmtId="4" fontId="20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4" fontId="22" fillId="0" borderId="1" xfId="0" applyNumberFormat="1" applyFont="1" applyBorder="1" applyAlignment="1">
      <alignment horizontal="center" vertical="center"/>
    </xf>
    <xf numFmtId="4" fontId="20" fillId="0" borderId="0" xfId="2" applyNumberFormat="1" applyFont="1" applyAlignment="1">
      <alignment horizontal="center" vertical="center"/>
    </xf>
    <xf numFmtId="2" fontId="20" fillId="0" borderId="0" xfId="2" applyNumberFormat="1" applyFont="1" applyAlignment="1">
      <alignment horizontal="center" vertical="center"/>
    </xf>
    <xf numFmtId="4" fontId="12" fillId="0" borderId="1" xfId="0" applyNumberFormat="1" applyFont="1" applyBorder="1" applyAlignment="1">
      <alignment horizontal="center"/>
    </xf>
    <xf numFmtId="0" fontId="22" fillId="0" borderId="1" xfId="1" applyFont="1" applyBorder="1" applyAlignment="1">
      <alignment vertical="top" wrapText="1"/>
    </xf>
    <xf numFmtId="2" fontId="24" fillId="0" borderId="1" xfId="1" applyNumberFormat="1" applyFont="1" applyBorder="1" applyAlignment="1">
      <alignment horizontal="center" vertical="top" wrapText="1"/>
    </xf>
    <xf numFmtId="4" fontId="20" fillId="0" borderId="0" xfId="2" applyNumberFormat="1" applyFont="1" applyAlignment="1">
      <alignment horizontal="left" vertical="center"/>
    </xf>
    <xf numFmtId="4" fontId="3" fillId="0" borderId="0" xfId="0" applyNumberFormat="1" applyFont="1"/>
    <xf numFmtId="0" fontId="19" fillId="0" borderId="0" xfId="0" applyFont="1"/>
    <xf numFmtId="0" fontId="3" fillId="0" borderId="1" xfId="0" applyFont="1" applyBorder="1"/>
    <xf numFmtId="0" fontId="3" fillId="0" borderId="0" xfId="0" applyFont="1"/>
    <xf numFmtId="4" fontId="24" fillId="0" borderId="2" xfId="0" applyNumberFormat="1" applyFont="1" applyBorder="1" applyAlignment="1">
      <alignment horizontal="right" vertical="center"/>
    </xf>
    <xf numFmtId="0" fontId="23" fillId="0" borderId="2" xfId="0" applyFont="1" applyBorder="1" applyAlignment="1">
      <alignment horizontal="center"/>
    </xf>
    <xf numFmtId="0" fontId="24" fillId="0" borderId="4" xfId="2" applyFont="1" applyBorder="1" applyAlignment="1">
      <alignment horizontal="left" vertical="center" wrapText="1"/>
    </xf>
    <xf numFmtId="2" fontId="24" fillId="0" borderId="1" xfId="2" applyNumberFormat="1" applyFont="1" applyBorder="1" applyAlignment="1">
      <alignment horizontal="center" vertical="center"/>
    </xf>
    <xf numFmtId="4" fontId="20" fillId="0" borderId="2" xfId="2" applyNumberFormat="1" applyFont="1" applyBorder="1" applyAlignment="1">
      <alignment horizontal="center" vertical="center"/>
    </xf>
    <xf numFmtId="3" fontId="9" fillId="0" borderId="1" xfId="0" applyNumberFormat="1" applyFont="1" applyBorder="1"/>
    <xf numFmtId="1" fontId="9" fillId="0" borderId="1" xfId="0" applyNumberFormat="1" applyFont="1" applyBorder="1"/>
    <xf numFmtId="0" fontId="16" fillId="0" borderId="1" xfId="0" applyFont="1" applyBorder="1" applyAlignment="1">
      <alignment horizontal="left"/>
    </xf>
    <xf numFmtId="0" fontId="7" fillId="0" borderId="1" xfId="0" applyFont="1" applyBorder="1"/>
    <xf numFmtId="0" fontId="0" fillId="0" borderId="9" xfId="0" applyBorder="1" applyAlignment="1">
      <alignment horizontal="center"/>
    </xf>
    <xf numFmtId="1" fontId="24" fillId="0" borderId="1" xfId="0" applyNumberFormat="1" applyFont="1" applyBorder="1" applyAlignment="1">
      <alignment horizontal="center" vertical="center"/>
    </xf>
    <xf numFmtId="0" fontId="30" fillId="0" borderId="1" xfId="1" applyFont="1" applyBorder="1" applyAlignment="1">
      <alignment vertical="top" wrapText="1"/>
    </xf>
    <xf numFmtId="0" fontId="23" fillId="0" borderId="2" xfId="2" applyFont="1" applyBorder="1" applyAlignment="1">
      <alignment horizontal="center" vertical="center"/>
    </xf>
    <xf numFmtId="0" fontId="24" fillId="0" borderId="1" xfId="2" applyFont="1" applyBorder="1" applyAlignment="1">
      <alignment vertical="center" wrapText="1"/>
    </xf>
    <xf numFmtId="4" fontId="12" fillId="0" borderId="0" xfId="0" applyNumberFormat="1" applyFont="1" applyAlignment="1">
      <alignment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4" fillId="0" borderId="2" xfId="2" applyFont="1" applyBorder="1" applyAlignment="1">
      <alignment horizontal="center" vertical="center"/>
    </xf>
    <xf numFmtId="2" fontId="24" fillId="0" borderId="0" xfId="0" applyNumberFormat="1" applyFont="1" applyAlignment="1">
      <alignment horizontal="right" vertical="center"/>
    </xf>
    <xf numFmtId="4" fontId="12" fillId="0" borderId="0" xfId="0" applyNumberFormat="1" applyFont="1" applyAlignment="1">
      <alignment horizontal="center"/>
    </xf>
    <xf numFmtId="2" fontId="24" fillId="0" borderId="2" xfId="0" applyNumberFormat="1" applyFont="1" applyBorder="1" applyAlignment="1">
      <alignment horizontal="center" vertical="center"/>
    </xf>
    <xf numFmtId="4" fontId="2" fillId="0" borderId="0" xfId="0" applyNumberFormat="1" applyFont="1"/>
    <xf numFmtId="0" fontId="20" fillId="0" borderId="0" xfId="2" applyFont="1" applyAlignment="1">
      <alignment horizontal="left" vertical="center" wrapText="1"/>
    </xf>
    <xf numFmtId="0" fontId="20" fillId="0" borderId="0" xfId="2" applyFont="1" applyAlignment="1">
      <alignment horizontal="center" vertical="center" wrapText="1"/>
    </xf>
    <xf numFmtId="0" fontId="20" fillId="0" borderId="1" xfId="2" applyFont="1" applyBorder="1" applyAlignment="1">
      <alignment horizontal="center" vertical="center"/>
    </xf>
    <xf numFmtId="2" fontId="20" fillId="0" borderId="1" xfId="2" applyNumberFormat="1" applyFont="1" applyBorder="1" applyAlignment="1">
      <alignment horizontal="right" vertical="center"/>
    </xf>
    <xf numFmtId="4" fontId="3" fillId="0" borderId="1" xfId="0" applyNumberFormat="1" applyFont="1" applyBorder="1" applyAlignment="1">
      <alignment horizontal="right"/>
    </xf>
    <xf numFmtId="2" fontId="2" fillId="0" borderId="1" xfId="0" applyNumberFormat="1" applyFont="1" applyBorder="1"/>
    <xf numFmtId="4" fontId="2" fillId="0" borderId="1" xfId="0" applyNumberFormat="1" applyFont="1" applyBorder="1"/>
    <xf numFmtId="4" fontId="9" fillId="0" borderId="0" xfId="0" applyNumberFormat="1" applyFont="1"/>
    <xf numFmtId="1" fontId="24" fillId="0" borderId="0" xfId="1" applyNumberFormat="1" applyFont="1" applyAlignment="1">
      <alignment vertical="top" wrapText="1"/>
    </xf>
    <xf numFmtId="0" fontId="13" fillId="0" borderId="1" xfId="0" applyFont="1" applyBorder="1"/>
    <xf numFmtId="0" fontId="10" fillId="0" borderId="1" xfId="0" applyFont="1" applyBorder="1"/>
    <xf numFmtId="2" fontId="0" fillId="0" borderId="1" xfId="0" applyNumberFormat="1" applyBorder="1"/>
    <xf numFmtId="4" fontId="34" fillId="0" borderId="1" xfId="0" applyNumberFormat="1" applyFont="1" applyBorder="1"/>
    <xf numFmtId="0" fontId="34" fillId="0" borderId="1" xfId="0" applyFont="1" applyBorder="1"/>
    <xf numFmtId="0" fontId="10" fillId="0" borderId="1" xfId="0" applyFont="1" applyBorder="1" applyAlignment="1">
      <alignment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16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4" fontId="16" fillId="0" borderId="1" xfId="0" applyNumberFormat="1" applyFont="1" applyBorder="1" applyAlignment="1">
      <alignment wrapText="1"/>
    </xf>
    <xf numFmtId="0" fontId="34" fillId="0" borderId="1" xfId="0" applyFont="1" applyBorder="1" applyAlignment="1">
      <alignment wrapText="1"/>
    </xf>
    <xf numFmtId="0" fontId="21" fillId="0" borderId="10" xfId="0" applyFont="1" applyBorder="1" applyAlignment="1">
      <alignment horizontal="center" wrapText="1"/>
    </xf>
    <xf numFmtId="2" fontId="21" fillId="0" borderId="11" xfId="0" applyNumberFormat="1" applyFont="1" applyBorder="1" applyAlignment="1">
      <alignment horizontal="center" wrapText="1"/>
    </xf>
    <xf numFmtId="2" fontId="24" fillId="0" borderId="1" xfId="2" applyNumberFormat="1" applyFont="1" applyBorder="1" applyAlignment="1">
      <alignment horizontal="right" vertical="center"/>
    </xf>
    <xf numFmtId="4" fontId="35" fillId="0" borderId="1" xfId="0" applyNumberFormat="1" applyFont="1" applyBorder="1" applyAlignment="1">
      <alignment horizontal="right" vertical="center"/>
    </xf>
    <xf numFmtId="4" fontId="24" fillId="0" borderId="6" xfId="0" applyNumberFormat="1" applyFont="1" applyBorder="1" applyAlignment="1">
      <alignment horizontal="right" vertical="center"/>
    </xf>
    <xf numFmtId="2" fontId="20" fillId="0" borderId="6" xfId="0" applyNumberFormat="1" applyFont="1" applyBorder="1" applyAlignment="1">
      <alignment horizontal="right" vertical="center"/>
    </xf>
    <xf numFmtId="0" fontId="23" fillId="0" borderId="1" xfId="0" applyFont="1" applyBorder="1" applyAlignment="1">
      <alignment horizontal="right" vertical="center"/>
    </xf>
    <xf numFmtId="4" fontId="20" fillId="0" borderId="1" xfId="0" applyNumberFormat="1" applyFont="1" applyBorder="1" applyAlignment="1">
      <alignment horizontal="right" vertical="center"/>
    </xf>
    <xf numFmtId="4" fontId="27" fillId="0" borderId="1" xfId="2" applyNumberFormat="1" applyFont="1" applyBorder="1" applyAlignment="1">
      <alignment horizontal="right" vertical="center"/>
    </xf>
    <xf numFmtId="4" fontId="23" fillId="0" borderId="1" xfId="0" applyNumberFormat="1" applyFont="1" applyBorder="1" applyAlignment="1">
      <alignment horizontal="right"/>
    </xf>
    <xf numFmtId="4" fontId="12" fillId="0" borderId="1" xfId="0" applyNumberFormat="1" applyFont="1" applyBorder="1" applyAlignment="1">
      <alignment horizontal="right"/>
    </xf>
    <xf numFmtId="167" fontId="24" fillId="0" borderId="1" xfId="2" applyNumberFormat="1" applyFont="1" applyBorder="1" applyAlignment="1">
      <alignment horizontal="right" vertical="center"/>
    </xf>
    <xf numFmtId="4" fontId="20" fillId="0" borderId="1" xfId="0" applyNumberFormat="1" applyFont="1" applyBorder="1" applyAlignment="1">
      <alignment vertical="center"/>
    </xf>
    <xf numFmtId="0" fontId="0" fillId="0" borderId="0" xfId="0" applyAlignment="1">
      <alignment horizontal="right"/>
    </xf>
    <xf numFmtId="0" fontId="36" fillId="0" borderId="1" xfId="0" applyFont="1" applyBorder="1" applyAlignment="1">
      <alignment wrapText="1"/>
    </xf>
    <xf numFmtId="4" fontId="35" fillId="0" borderId="1" xfId="0" applyNumberFormat="1" applyFont="1" applyBorder="1"/>
    <xf numFmtId="2" fontId="24" fillId="0" borderId="1" xfId="2" applyNumberFormat="1" applyFont="1" applyBorder="1" applyAlignment="1">
      <alignment horizontal="right"/>
    </xf>
    <xf numFmtId="0" fontId="1" fillId="0" borderId="1" xfId="0" applyFont="1" applyBorder="1"/>
    <xf numFmtId="0" fontId="9" fillId="0" borderId="0" xfId="0" applyFont="1"/>
    <xf numFmtId="0" fontId="3" fillId="0" borderId="0" xfId="0" applyFont="1" applyAlignment="1">
      <alignment wrapText="1"/>
    </xf>
    <xf numFmtId="0" fontId="12" fillId="0" borderId="0" xfId="0" applyFont="1" applyAlignment="1">
      <alignment wrapText="1"/>
    </xf>
    <xf numFmtId="4" fontId="2" fillId="0" borderId="3" xfId="0" applyNumberFormat="1" applyFont="1" applyBorder="1"/>
    <xf numFmtId="2" fontId="2" fillId="0" borderId="3" xfId="0" applyNumberFormat="1" applyFont="1" applyBorder="1"/>
    <xf numFmtId="4" fontId="27" fillId="0" borderId="6" xfId="2" applyNumberFormat="1" applyFont="1" applyBorder="1" applyAlignment="1">
      <alignment horizontal="right" vertical="center"/>
    </xf>
    <xf numFmtId="4" fontId="20" fillId="0" borderId="6" xfId="0" applyNumberFormat="1" applyFont="1" applyBorder="1" applyAlignment="1">
      <alignment horizontal="right" vertical="center"/>
    </xf>
    <xf numFmtId="4" fontId="13" fillId="0" borderId="1" xfId="0" applyNumberFormat="1" applyFont="1" applyBorder="1"/>
    <xf numFmtId="2" fontId="13" fillId="0" borderId="1" xfId="0" applyNumberFormat="1" applyFont="1" applyBorder="1"/>
    <xf numFmtId="0" fontId="20" fillId="0" borderId="6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2" fontId="20" fillId="2" borderId="0" xfId="2" applyNumberFormat="1" applyFont="1" applyFill="1" applyAlignment="1">
      <alignment horizontal="center" vertical="center"/>
    </xf>
    <xf numFmtId="4" fontId="3" fillId="2" borderId="0" xfId="0" applyNumberFormat="1" applyFont="1" applyFill="1"/>
    <xf numFmtId="4" fontId="3" fillId="0" borderId="2" xfId="0" applyNumberFormat="1" applyFont="1" applyBorder="1"/>
    <xf numFmtId="0" fontId="21" fillId="0" borderId="1" xfId="0" applyFont="1" applyBorder="1" applyAlignment="1">
      <alignment horizontal="center" wrapText="1"/>
    </xf>
    <xf numFmtId="2" fontId="21" fillId="0" borderId="1" xfId="0" applyNumberFormat="1" applyFont="1" applyBorder="1" applyAlignment="1">
      <alignment horizontal="center" wrapText="1"/>
    </xf>
    <xf numFmtId="0" fontId="23" fillId="0" borderId="2" xfId="2" applyFont="1" applyBorder="1" applyAlignment="1">
      <alignment horizontal="center"/>
    </xf>
    <xf numFmtId="2" fontId="20" fillId="0" borderId="1" xfId="0" applyNumberFormat="1" applyFont="1" applyBorder="1" applyAlignment="1">
      <alignment horizontal="center" vertical="center"/>
    </xf>
    <xf numFmtId="0" fontId="20" fillId="0" borderId="1" xfId="2" applyFont="1" applyBorder="1" applyAlignment="1">
      <alignment horizontal="right" vertical="center" wrapText="1"/>
    </xf>
    <xf numFmtId="4" fontId="24" fillId="0" borderId="6" xfId="0" applyNumberFormat="1" applyFont="1" applyBorder="1" applyAlignment="1">
      <alignment horizontal="center" vertical="center"/>
    </xf>
    <xf numFmtId="2" fontId="20" fillId="0" borderId="1" xfId="0" applyNumberFormat="1" applyFont="1" applyBorder="1" applyAlignment="1">
      <alignment horizontal="right" vertical="center"/>
    </xf>
    <xf numFmtId="0" fontId="28" fillId="0" borderId="1" xfId="2" applyFont="1" applyBorder="1" applyAlignment="1">
      <alignment horizontal="right" vertical="center"/>
    </xf>
    <xf numFmtId="4" fontId="29" fillId="0" borderId="1" xfId="2" applyNumberFormat="1" applyFont="1" applyBorder="1" applyAlignment="1">
      <alignment horizontal="right"/>
    </xf>
    <xf numFmtId="4" fontId="3" fillId="0" borderId="6" xfId="0" applyNumberFormat="1" applyFont="1" applyBorder="1"/>
    <xf numFmtId="4" fontId="20" fillId="0" borderId="6" xfId="0" applyNumberFormat="1" applyFont="1" applyBorder="1" applyAlignment="1">
      <alignment horizontal="center" vertical="center"/>
    </xf>
    <xf numFmtId="2" fontId="24" fillId="0" borderId="6" xfId="0" applyNumberFormat="1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/>
    </xf>
    <xf numFmtId="2" fontId="20" fillId="0" borderId="0" xfId="2" applyNumberFormat="1" applyFont="1" applyAlignment="1">
      <alignment horizontal="right" vertical="center"/>
    </xf>
    <xf numFmtId="2" fontId="24" fillId="0" borderId="6" xfId="0" applyNumberFormat="1" applyFont="1" applyBorder="1" applyAlignment="1">
      <alignment horizontal="right" vertical="center"/>
    </xf>
    <xf numFmtId="4" fontId="24" fillId="0" borderId="6" xfId="2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right" wrapText="1"/>
    </xf>
    <xf numFmtId="0" fontId="20" fillId="0" borderId="0" xfId="2" applyFont="1" applyAlignment="1">
      <alignment horizontal="right" vertical="center" wrapText="1"/>
    </xf>
    <xf numFmtId="2" fontId="24" fillId="0" borderId="0" xfId="2" applyNumberFormat="1" applyFont="1" applyAlignment="1">
      <alignment horizontal="center" vertical="center"/>
    </xf>
    <xf numFmtId="2" fontId="24" fillId="3" borderId="1" xfId="2" applyNumberFormat="1" applyFont="1" applyFill="1" applyBorder="1" applyAlignment="1">
      <alignment horizontal="right"/>
    </xf>
    <xf numFmtId="2" fontId="24" fillId="3" borderId="1" xfId="2" applyNumberFormat="1" applyFont="1" applyFill="1" applyBorder="1" applyAlignment="1">
      <alignment horizontal="right" vertical="center"/>
    </xf>
    <xf numFmtId="2" fontId="13" fillId="3" borderId="1" xfId="0" applyNumberFormat="1" applyFont="1" applyFill="1" applyBorder="1"/>
    <xf numFmtId="4" fontId="23" fillId="0" borderId="6" xfId="0" applyNumberFormat="1" applyFont="1" applyBorder="1"/>
    <xf numFmtId="4" fontId="12" fillId="0" borderId="6" xfId="0" applyNumberFormat="1" applyFont="1" applyBorder="1" applyAlignment="1">
      <alignment horizontal="center"/>
    </xf>
    <xf numFmtId="167" fontId="24" fillId="0" borderId="6" xfId="2" applyNumberFormat="1" applyFont="1" applyBorder="1" applyAlignment="1">
      <alignment horizontal="center" vertical="center"/>
    </xf>
    <xf numFmtId="2" fontId="20" fillId="0" borderId="6" xfId="2" applyNumberFormat="1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4" fontId="24" fillId="0" borderId="6" xfId="0" applyNumberFormat="1" applyFont="1" applyBorder="1" applyAlignment="1">
      <alignment vertical="center"/>
    </xf>
    <xf numFmtId="0" fontId="9" fillId="0" borderId="6" xfId="0" applyFont="1" applyBorder="1" applyAlignment="1">
      <alignment horizontal="center" wrapText="1"/>
    </xf>
    <xf numFmtId="4" fontId="9" fillId="0" borderId="6" xfId="0" applyNumberFormat="1" applyFont="1" applyBorder="1"/>
    <xf numFmtId="1" fontId="24" fillId="0" borderId="6" xfId="0" applyNumberFormat="1" applyFont="1" applyBorder="1" applyAlignment="1">
      <alignment horizontal="center" vertical="center"/>
    </xf>
    <xf numFmtId="0" fontId="23" fillId="0" borderId="6" xfId="2" applyFont="1" applyBorder="1" applyAlignment="1">
      <alignment horizontal="center" vertical="center"/>
    </xf>
    <xf numFmtId="2" fontId="24" fillId="0" borderId="4" xfId="1" applyNumberFormat="1" applyFont="1" applyBorder="1" applyAlignment="1">
      <alignment vertical="top" wrapText="1"/>
    </xf>
    <xf numFmtId="0" fontId="0" fillId="0" borderId="2" xfId="0" applyBorder="1" applyAlignment="1">
      <alignment horizontal="center"/>
    </xf>
    <xf numFmtId="4" fontId="13" fillId="4" borderId="1" xfId="0" applyNumberFormat="1" applyFont="1" applyFill="1" applyBorder="1"/>
    <xf numFmtId="0" fontId="13" fillId="4" borderId="1" xfId="0" applyFont="1" applyFill="1" applyBorder="1"/>
    <xf numFmtId="0" fontId="37" fillId="0" borderId="1" xfId="0" applyFont="1" applyBorder="1"/>
    <xf numFmtId="4" fontId="38" fillId="0" borderId="1" xfId="0" applyNumberFormat="1" applyFont="1" applyBorder="1"/>
    <xf numFmtId="4" fontId="37" fillId="0" borderId="1" xfId="0" applyNumberFormat="1" applyFont="1" applyBorder="1"/>
    <xf numFmtId="0" fontId="39" fillId="0" borderId="1" xfId="0" applyFont="1" applyBorder="1"/>
    <xf numFmtId="4" fontId="40" fillId="0" borderId="1" xfId="0" applyNumberFormat="1" applyFont="1" applyBorder="1"/>
    <xf numFmtId="1" fontId="24" fillId="0" borderId="1" xfId="0" applyNumberFormat="1" applyFont="1" applyBorder="1" applyAlignment="1">
      <alignment horizontal="right" vertical="center"/>
    </xf>
    <xf numFmtId="4" fontId="24" fillId="0" borderId="1" xfId="2" applyNumberFormat="1" applyFont="1" applyBorder="1" applyAlignment="1">
      <alignment vertical="center"/>
    </xf>
    <xf numFmtId="2" fontId="20" fillId="0" borderId="1" xfId="2" applyNumberFormat="1" applyFont="1" applyBorder="1" applyAlignment="1">
      <alignment vertical="center"/>
    </xf>
    <xf numFmtId="0" fontId="0" fillId="0" borderId="9" xfId="0" applyBorder="1"/>
    <xf numFmtId="0" fontId="0" fillId="0" borderId="4" xfId="0" applyBorder="1"/>
    <xf numFmtId="0" fontId="9" fillId="0" borderId="6" xfId="0" applyFont="1" applyBorder="1" applyAlignment="1">
      <alignment horizontal="center"/>
    </xf>
    <xf numFmtId="4" fontId="3" fillId="0" borderId="6" xfId="0" applyNumberFormat="1" applyFont="1" applyBorder="1" applyAlignment="1">
      <alignment horizontal="center"/>
    </xf>
    <xf numFmtId="4" fontId="27" fillId="0" borderId="6" xfId="2" applyNumberFormat="1" applyFont="1" applyBorder="1" applyAlignment="1">
      <alignment horizontal="center" vertical="center"/>
    </xf>
    <xf numFmtId="0" fontId="39" fillId="4" borderId="1" xfId="0" applyFont="1" applyFill="1" applyBorder="1"/>
    <xf numFmtId="2" fontId="24" fillId="3" borderId="1" xfId="0" applyNumberFormat="1" applyFont="1" applyFill="1" applyBorder="1" applyAlignment="1">
      <alignment horizontal="right" vertical="center"/>
    </xf>
    <xf numFmtId="4" fontId="12" fillId="3" borderId="1" xfId="0" applyNumberFormat="1" applyFont="1" applyFill="1" applyBorder="1" applyAlignment="1">
      <alignment vertical="center" wrapText="1"/>
    </xf>
    <xf numFmtId="0" fontId="15" fillId="0" borderId="0" xfId="0" applyFont="1" applyAlignment="1">
      <alignment horizontal="justify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7" fillId="0" borderId="0" xfId="0" applyFont="1" applyAlignment="1">
      <alignment horizontal="justify" vertical="top" wrapText="1" readingOrder="1"/>
    </xf>
    <xf numFmtId="0" fontId="6" fillId="0" borderId="0" xfId="0" applyFont="1" applyAlignment="1">
      <alignment horizontal="justify" vertical="center" wrapText="1"/>
    </xf>
    <xf numFmtId="0" fontId="32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32" fillId="0" borderId="0" xfId="0" applyFont="1" applyAlignment="1">
      <alignment horizontal="justify" vertical="center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11" fillId="0" borderId="0" xfId="0" applyFont="1" applyAlignment="1">
      <alignment wrapText="1"/>
    </xf>
    <xf numFmtId="0" fontId="0" fillId="0" borderId="0" xfId="0"/>
    <xf numFmtId="0" fontId="7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1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19" fillId="0" borderId="0" xfId="0" applyFont="1" applyAlignment="1">
      <alignment wrapText="1"/>
    </xf>
    <xf numFmtId="0" fontId="20" fillId="0" borderId="6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2" applyFont="1" applyBorder="1" applyAlignment="1">
      <alignment horizontal="left" vertical="center" wrapText="1"/>
    </xf>
    <xf numFmtId="0" fontId="20" fillId="0" borderId="1" xfId="0" applyFont="1" applyBorder="1" applyAlignment="1">
      <alignment horizontal="left" vertical="center" wrapText="1"/>
    </xf>
    <xf numFmtId="0" fontId="0" fillId="0" borderId="1" xfId="0" applyBorder="1"/>
    <xf numFmtId="0" fontId="7" fillId="0" borderId="0" xfId="0" applyFont="1" applyAlignment="1">
      <alignment horizontal="justify" vertical="center" wrapText="1"/>
    </xf>
    <xf numFmtId="0" fontId="9" fillId="0" borderId="1" xfId="0" applyFont="1" applyBorder="1"/>
    <xf numFmtId="0" fontId="27" fillId="0" borderId="1" xfId="2" applyFont="1" applyBorder="1" applyAlignment="1">
      <alignment horizontal="left" vertical="center" wrapText="1"/>
    </xf>
    <xf numFmtId="0" fontId="27" fillId="0" borderId="1" xfId="2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23" fillId="0" borderId="1" xfId="0" applyFont="1" applyBorder="1"/>
    <xf numFmtId="0" fontId="19" fillId="0" borderId="0" xfId="0" applyFont="1" applyAlignment="1">
      <alignment horizontal="justify" vertical="center" wrapText="1"/>
    </xf>
    <xf numFmtId="0" fontId="20" fillId="0" borderId="1" xfId="2" applyFont="1" applyBorder="1" applyAlignment="1">
      <alignment horizontal="right" vertical="center" wrapText="1"/>
    </xf>
  </cellXfs>
  <cellStyles count="3">
    <cellStyle name="Обычный" xfId="0" builtinId="0"/>
    <cellStyle name="Обычный 2" xfId="2"/>
    <cellStyle name="Обычный_340" xfId="1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A6FA07F3-CA4F-4F47-8F83-222846E07AFD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38</xdr:row>
      <xdr:rowOff>182880</xdr:rowOff>
    </xdr:from>
    <xdr:to>
      <xdr:col>10</xdr:col>
      <xdr:colOff>580680</xdr:colOff>
      <xdr:row>39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45FC5BF3-5B4E-4E1F-BC8E-B811966A44A7}"/>
            </a:ext>
          </a:extLst>
        </xdr:cNvPr>
        <xdr:cNvSpPr/>
      </xdr:nvSpPr>
      <xdr:spPr>
        <a:xfrm>
          <a:off x="10098031" y="2282024"/>
          <a:ext cx="360" cy="171392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FFDCE014-DAD1-4FA0-8F07-6F341AFF8929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27</xdr:row>
      <xdr:rowOff>182880</xdr:rowOff>
    </xdr:from>
    <xdr:to>
      <xdr:col>10</xdr:col>
      <xdr:colOff>580680</xdr:colOff>
      <xdr:row>28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7EECAC37-CDC7-4099-8B08-D3A1FE1A9DAF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6E9A6A93-58D3-4274-9CE4-080ED103A33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34A91A7C-9ADA-4363-9F78-402A8B46DE60}"/>
            </a:ext>
          </a:extLst>
        </xdr:cNvPr>
        <xdr:cNvSpPr/>
      </xdr:nvSpPr>
      <xdr:spPr>
        <a:xfrm>
          <a:off x="13437579" y="1042416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2" name="CustomShape 1">
          <a:extLst>
            <a:ext uri="{FF2B5EF4-FFF2-40B4-BE49-F238E27FC236}">
              <a16:creationId xmlns:a16="http://schemas.microsoft.com/office/drawing/2014/main" xmlns="" id="{4285B1CB-2B44-4643-8FCC-8B18144DF346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  <xdr:twoCellAnchor>
    <xdr:from>
      <xdr:col>10</xdr:col>
      <xdr:colOff>580320</xdr:colOff>
      <xdr:row>11</xdr:row>
      <xdr:rowOff>182880</xdr:rowOff>
    </xdr:from>
    <xdr:to>
      <xdr:col>10</xdr:col>
      <xdr:colOff>580680</xdr:colOff>
      <xdr:row>12</xdr:row>
      <xdr:rowOff>163440</xdr:rowOff>
    </xdr:to>
    <xdr:sp macro="" textlink="">
      <xdr:nvSpPr>
        <xdr:cNvPr id="3" name="CustomShape 1">
          <a:extLst>
            <a:ext uri="{FF2B5EF4-FFF2-40B4-BE49-F238E27FC236}">
              <a16:creationId xmlns:a16="http://schemas.microsoft.com/office/drawing/2014/main" xmlns="" id="{586A036A-2458-41E1-AAF9-02D331F06051}"/>
            </a:ext>
          </a:extLst>
        </xdr:cNvPr>
        <xdr:cNvSpPr/>
      </xdr:nvSpPr>
      <xdr:spPr>
        <a:xfrm>
          <a:off x="13437579" y="2743200"/>
          <a:ext cx="360" cy="203197"/>
        </a:xfrm>
        <a:prstGeom prst="rect">
          <a:avLst/>
        </a:pr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1055;&#1088;&#1086;&#1077;&#1082;&#1090;&#1099;\2022\1\&#1069;&#1050;&#1054;&#1053;&#1054;&#1052;&#1048;&#1057;&#1058;\&#1062;&#1057;&#1054;\&#1052;&#1059;&#1053;&#1048;&#1062;&#1048;&#1055;&#1040;&#1051;&#1068;&#1053;&#1054;&#1045;%20&#1047;&#1040;&#1044;&#1040;&#1053;&#1048;&#1045;\2022%20&#1075;&#1086;&#1076;\&#1091;&#1089;&#1079;&#1085;\10.01.2022\&#1094;&#1089;&#1086;%20&#1085;&#1086;&#1074;&#1099;&#1081;%2030.12.2021%20&#1074;%20&#1072;&#1074;&#1075;&#1091;&#1089;&#1090;&#1077;%202023\&#1088;&#1072;&#1089;&#1095;&#1077;&#1090;%2030.12.%202021.2022.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/10.01.2022/&#1056;&#1040;&#1057;&#1063;&#1045;&#1058;%2030.12.2021%20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/&#1069;&#1050;&#1054;&#1053;&#1054;&#1052;&#1048;&#1057;&#1058;/&#1062;&#1057;&#1054;/&#1052;&#1059;&#1053;&#1048;&#1062;&#1048;&#1055;&#1040;&#1051;&#1068;&#1053;&#1054;&#1045;%20&#1047;&#1040;&#1044;&#1040;&#1053;&#1048;&#1045;/2022%20&#1075;&#1086;&#1076;/&#1091;&#1089;&#1079;&#1085;/10.01.2022/&#1094;&#1089;&#1086;%20&#1085;&#1086;&#1074;&#1099;&#1081;%2030.12.2021%20&#1074;%20&#1072;&#1074;&#1075;&#1091;&#1089;&#1090;&#1077;%202023/&#1088;&#1072;&#1089;&#1095;&#1077;&#1090;%2030.12.%202021.2022.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>
        <row r="18">
          <cell r="F18">
            <v>25353212.15882</v>
          </cell>
        </row>
        <row r="20">
          <cell r="F20">
            <v>109304249.54882</v>
          </cell>
        </row>
        <row r="73">
          <cell r="F73">
            <v>9684814.4531800002</v>
          </cell>
        </row>
        <row r="430">
          <cell r="F430">
            <v>125094393.00470001</v>
          </cell>
        </row>
      </sheetData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6"/>
      <sheetName val="Лист7"/>
      <sheetName val="Лист1"/>
      <sheetName val="НОВАЯ ПОПЫТКА 2022"/>
      <sheetName val="НОВАЯ ПОПЫТКА 2023"/>
      <sheetName val="НОВАЯ ПОПЫТКА 2024"/>
      <sheetName val="НОВАЯ ПОПЫТКА 2 ДОКУМЕНТ"/>
      <sheetName val="НОВАЯ ПОПЫТКА 3 ДОКУМЕНТ"/>
      <sheetName val="ЗАПОЛНИТЬ ЮЛЯ (2)"/>
      <sheetName val="СДЕЛАТЬ 2023 юля "/>
      <sheetName val="сделать 2024 юля"/>
    </sheetNames>
    <sheetDataSet>
      <sheetData sheetId="0" refreshError="1"/>
      <sheetData sheetId="1" refreshError="1">
        <row r="2">
          <cell r="A2">
            <v>70970276.390000001</v>
          </cell>
          <cell r="B2">
            <v>7850144.4400000004</v>
          </cell>
          <cell r="G2">
            <v>21298484.079779997</v>
          </cell>
          <cell r="H2">
            <v>2370743.6208799998</v>
          </cell>
        </row>
      </sheetData>
      <sheetData sheetId="2" refreshError="1"/>
      <sheetData sheetId="3" refreshError="1"/>
      <sheetData sheetId="4" refreshError="1"/>
      <sheetData sheetId="5" refreshError="1">
        <row r="130">
          <cell r="C130">
            <v>5562053.2476590313</v>
          </cell>
        </row>
      </sheetData>
      <sheetData sheetId="6" refreshError="1"/>
      <sheetData sheetId="7" refreshError="1"/>
      <sheetData sheetId="8" refreshError="1">
        <row r="20">
          <cell r="E20">
            <v>75878333.659999996</v>
          </cell>
        </row>
        <row r="21">
          <cell r="E21">
            <v>22758705.349779997</v>
          </cell>
        </row>
        <row r="22">
          <cell r="E22">
            <v>3347474</v>
          </cell>
        </row>
        <row r="23">
          <cell r="E23">
            <v>3016799.3400000003</v>
          </cell>
        </row>
        <row r="24">
          <cell r="E24">
            <v>2078561.96</v>
          </cell>
        </row>
        <row r="222">
          <cell r="E222">
            <v>12348101.83</v>
          </cell>
        </row>
        <row r="223">
          <cell r="E223">
            <v>3729126.7508799997</v>
          </cell>
        </row>
        <row r="224">
          <cell r="E224">
            <v>185103.02</v>
          </cell>
        </row>
        <row r="225">
          <cell r="E225">
            <v>-3386361.85</v>
          </cell>
        </row>
        <row r="226">
          <cell r="E226">
            <v>-966780.05999999994</v>
          </cell>
        </row>
      </sheetData>
      <sheetData sheetId="9" refreshError="1"/>
      <sheetData sheetId="10" refreshError="1">
        <row r="213">
          <cell r="F213">
            <v>469192.99599999998</v>
          </cell>
        </row>
        <row r="214">
          <cell r="F214">
            <v>3142499.06</v>
          </cell>
        </row>
        <row r="215">
          <cell r="F215">
            <v>1907112.34</v>
          </cell>
        </row>
        <row r="434">
          <cell r="C434">
            <v>397636.95000000042</v>
          </cell>
        </row>
        <row r="435">
          <cell r="C435">
            <v>192788.65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приложение 1 "/>
      <sheetName val="базовый норматив"/>
      <sheetName val="2022,"/>
      <sheetName val="2023"/>
      <sheetName val="20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D13">
            <v>85052820.129999995</v>
          </cell>
        </row>
        <row r="42">
          <cell r="F42">
            <v>27904</v>
          </cell>
        </row>
        <row r="52">
          <cell r="F52">
            <v>613749.62</v>
          </cell>
        </row>
        <row r="74">
          <cell r="F74">
            <v>9146842.0899999999</v>
          </cell>
        </row>
        <row r="85">
          <cell r="F85">
            <v>130000</v>
          </cell>
        </row>
        <row r="132">
          <cell r="F132">
            <v>47626.66</v>
          </cell>
        </row>
        <row r="164">
          <cell r="F164">
            <v>481828.06</v>
          </cell>
        </row>
        <row r="176">
          <cell r="F176">
            <v>296801</v>
          </cell>
        </row>
        <row r="195">
          <cell r="F195">
            <v>838339.44</v>
          </cell>
        </row>
        <row r="203">
          <cell r="E203">
            <v>515955</v>
          </cell>
        </row>
        <row r="214">
          <cell r="F214">
            <v>104215.08</v>
          </cell>
        </row>
        <row r="222">
          <cell r="F222">
            <v>13000</v>
          </cell>
        </row>
        <row r="282">
          <cell r="F282">
            <v>1843879.17</v>
          </cell>
        </row>
        <row r="290">
          <cell r="F290">
            <v>43560.3</v>
          </cell>
        </row>
        <row r="363">
          <cell r="F363">
            <v>218257.41</v>
          </cell>
        </row>
        <row r="374">
          <cell r="F374">
            <v>179155.9952</v>
          </cell>
        </row>
        <row r="391">
          <cell r="F391">
            <v>142860</v>
          </cell>
        </row>
        <row r="400">
          <cell r="F400">
            <v>40117.919999999998</v>
          </cell>
        </row>
        <row r="423">
          <cell r="F423">
            <v>572079.34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S45"/>
  <sheetViews>
    <sheetView view="pageBreakPreview" zoomScaleNormal="100" zoomScaleSheetLayoutView="100" workbookViewId="0">
      <selection activeCell="I40" sqref="I40"/>
    </sheetView>
  </sheetViews>
  <sheetFormatPr defaultRowHeight="15" x14ac:dyDescent="0.25"/>
  <cols>
    <col min="2" max="2" width="18.28515625" customWidth="1"/>
    <col min="3" max="3" width="48.28515625" customWidth="1"/>
    <col min="4" max="4" width="56.42578125" customWidth="1"/>
    <col min="5" max="5" width="50.42578125" customWidth="1"/>
    <col min="11" max="11" width="12.42578125" customWidth="1"/>
    <col min="12" max="12" width="8.85546875" hidden="1" customWidth="1"/>
    <col min="13" max="13" width="2.28515625" hidden="1" customWidth="1"/>
    <col min="14" max="14" width="8.85546875" hidden="1" customWidth="1"/>
    <col min="15" max="15" width="13.42578125" bestFit="1" customWidth="1"/>
  </cols>
  <sheetData>
    <row r="2" spans="7:14" ht="18.75" x14ac:dyDescent="0.3">
      <c r="L2" s="5"/>
      <c r="M2" s="5"/>
      <c r="N2" s="5"/>
    </row>
    <row r="3" spans="7:14" ht="18.75" x14ac:dyDescent="0.3">
      <c r="G3" s="5" t="s">
        <v>53</v>
      </c>
      <c r="H3" s="5"/>
      <c r="I3" s="5"/>
      <c r="L3" s="5"/>
      <c r="M3" s="5"/>
      <c r="N3" s="5"/>
    </row>
    <row r="4" spans="7:14" ht="18.75" x14ac:dyDescent="0.3">
      <c r="G4" s="5" t="s">
        <v>54</v>
      </c>
      <c r="H4" s="5"/>
      <c r="I4" s="5"/>
      <c r="L4" s="5"/>
      <c r="M4" s="5"/>
      <c r="N4" s="5"/>
    </row>
    <row r="5" spans="7:14" ht="18.75" x14ac:dyDescent="0.3">
      <c r="G5" s="5" t="s">
        <v>55</v>
      </c>
      <c r="H5" s="5"/>
      <c r="I5" s="5"/>
      <c r="L5" s="5"/>
      <c r="M5" s="5"/>
      <c r="N5" s="5"/>
    </row>
    <row r="6" spans="7:14" ht="18.75" x14ac:dyDescent="0.3">
      <c r="G6" s="5" t="s">
        <v>56</v>
      </c>
      <c r="H6" s="5"/>
      <c r="I6" s="5"/>
      <c r="L6" s="5"/>
      <c r="M6" s="5"/>
      <c r="N6" s="5"/>
    </row>
    <row r="7" spans="7:14" ht="18.75" x14ac:dyDescent="0.3">
      <c r="G7" s="5"/>
      <c r="H7" s="5"/>
      <c r="I7" s="5"/>
      <c r="L7" s="5"/>
      <c r="M7" s="5"/>
      <c r="N7" s="5"/>
    </row>
    <row r="8" spans="7:14" ht="18.75" x14ac:dyDescent="0.3">
      <c r="G8" s="5"/>
      <c r="H8" s="5"/>
      <c r="I8" s="5"/>
      <c r="L8" s="5"/>
      <c r="M8" s="5"/>
      <c r="N8" s="5"/>
    </row>
    <row r="9" spans="7:14" ht="18.75" x14ac:dyDescent="0.3">
      <c r="G9" s="5" t="s">
        <v>50</v>
      </c>
      <c r="H9" s="5"/>
      <c r="I9" s="5"/>
      <c r="L9" s="5"/>
      <c r="M9" s="5"/>
      <c r="N9" s="5"/>
    </row>
    <row r="10" spans="7:14" ht="18.75" x14ac:dyDescent="0.3">
      <c r="G10" s="5" t="s">
        <v>51</v>
      </c>
      <c r="H10" s="5"/>
      <c r="I10" s="5"/>
      <c r="L10" s="5"/>
      <c r="M10" s="5"/>
      <c r="N10" s="5"/>
    </row>
    <row r="11" spans="7:14" ht="18.75" x14ac:dyDescent="0.3">
      <c r="G11" s="5" t="s">
        <v>52</v>
      </c>
      <c r="H11" s="5"/>
      <c r="I11" s="5"/>
      <c r="L11" s="5"/>
      <c r="M11" s="5"/>
      <c r="N11" s="5"/>
    </row>
    <row r="12" spans="7:14" ht="18.75" x14ac:dyDescent="0.3">
      <c r="G12" s="5" t="s">
        <v>57</v>
      </c>
      <c r="H12" s="5"/>
      <c r="I12" s="5"/>
      <c r="L12" s="5"/>
      <c r="M12" s="5"/>
      <c r="N12" s="5"/>
    </row>
    <row r="13" spans="7:14" ht="18.75" x14ac:dyDescent="0.3">
      <c r="G13" s="5"/>
      <c r="H13" s="5"/>
      <c r="I13" s="5"/>
      <c r="L13" s="5"/>
      <c r="M13" s="5"/>
      <c r="N13" s="5"/>
    </row>
    <row r="14" spans="7:14" ht="18.75" x14ac:dyDescent="0.3">
      <c r="G14" s="5" t="s">
        <v>58</v>
      </c>
      <c r="H14" s="5"/>
      <c r="I14" s="5"/>
    </row>
    <row r="18" spans="2:19" ht="18.75" x14ac:dyDescent="0.3">
      <c r="B18" s="305" t="s">
        <v>339</v>
      </c>
      <c r="C18" s="306"/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</row>
    <row r="19" spans="2:19" ht="31.35" customHeight="1" x14ac:dyDescent="0.25"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18"/>
    </row>
    <row r="20" spans="2:19" ht="112.35" customHeight="1" x14ac:dyDescent="0.3">
      <c r="B20" s="307" t="s">
        <v>366</v>
      </c>
      <c r="C20" s="307"/>
      <c r="D20" s="307"/>
      <c r="E20" s="307"/>
      <c r="F20" s="307"/>
      <c r="G20" s="307"/>
      <c r="H20" s="307"/>
      <c r="I20" s="307"/>
      <c r="J20" s="307"/>
      <c r="K20" s="307"/>
      <c r="L20" s="307"/>
      <c r="M20" s="308"/>
      <c r="N20" s="308"/>
      <c r="O20" s="308"/>
    </row>
    <row r="22" spans="2:19" ht="18.75" x14ac:dyDescent="0.3">
      <c r="B22" s="7"/>
    </row>
    <row r="23" spans="2:19" ht="16.5" x14ac:dyDescent="0.25">
      <c r="B23" s="304"/>
      <c r="C23" s="304"/>
      <c r="D23" s="304"/>
      <c r="E23" s="304"/>
      <c r="F23" s="304"/>
      <c r="G23" s="304"/>
      <c r="H23" s="304"/>
      <c r="I23" s="304"/>
      <c r="J23" s="304"/>
      <c r="K23" s="304"/>
      <c r="L23" s="304"/>
      <c r="M23" s="304"/>
      <c r="N23" s="304"/>
      <c r="O23" s="304"/>
      <c r="P23" s="304"/>
      <c r="Q23" s="304"/>
    </row>
    <row r="26" spans="2:19" ht="188.45" customHeight="1" x14ac:dyDescent="0.25">
      <c r="B26" s="39" t="s">
        <v>76</v>
      </c>
      <c r="C26" s="40" t="s">
        <v>341</v>
      </c>
      <c r="D26" s="248" t="s">
        <v>367</v>
      </c>
      <c r="E26" s="40" t="s">
        <v>340</v>
      </c>
      <c r="F26" s="37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</row>
    <row r="27" spans="2:19" ht="18.75" x14ac:dyDescent="0.3">
      <c r="B27" s="20"/>
      <c r="C27" s="20"/>
      <c r="D27" s="20"/>
      <c r="E27" s="20"/>
      <c r="F27" s="15"/>
    </row>
    <row r="28" spans="2:19" ht="18.75" x14ac:dyDescent="0.3">
      <c r="B28" s="41">
        <v>2022</v>
      </c>
      <c r="C28" s="42">
        <f>SUM('расчет объема'!B20)</f>
        <v>111347000.0027</v>
      </c>
      <c r="D28" s="42">
        <f>SUM('расчет подушевого 2022'!C141+'расчет подушевого 2022'!C145+'расчет подушевого 2022'!C56+'расчет подушевого 2022'!C87)</f>
        <v>118989064</v>
      </c>
      <c r="E28" s="42">
        <f>717800-252607</f>
        <v>465193</v>
      </c>
      <c r="F28" s="15"/>
      <c r="O28" s="2">
        <f>SUM('РАСШИФРОВКА  2022 (2)'!F410)</f>
        <v>118989064.00066</v>
      </c>
      <c r="P28" s="1">
        <f>SUM(D28-O28)</f>
        <v>-6.6000223159790039E-4</v>
      </c>
    </row>
    <row r="29" spans="2:19" ht="18.75" x14ac:dyDescent="0.3">
      <c r="B29" s="41"/>
      <c r="C29" s="41"/>
      <c r="D29" s="41"/>
      <c r="E29" s="41"/>
      <c r="F29" s="15"/>
      <c r="O29" s="1">
        <f>SUM('расчет подушевого 2022'!C55+'расчет подушевого 2022'!C56+'расчет подушевого 2022'!C86+'расчет подушевого 2022'!C87)</f>
        <v>118989064</v>
      </c>
    </row>
    <row r="30" spans="2:19" ht="18.75" x14ac:dyDescent="0.3">
      <c r="B30" s="41">
        <v>2023</v>
      </c>
      <c r="C30" s="42">
        <f>SUM('расчет объема'!C20)</f>
        <v>118194300.00270002</v>
      </c>
      <c r="D30" s="42">
        <f>SUM('расчет подушевого 2023'!C59+'расчет подушевого 2023'!C60+'расчет подушевого 2023'!C28+'расчет подушевого 2023'!C29)</f>
        <v>125825364</v>
      </c>
      <c r="E30" s="42">
        <f>728800-294814</f>
        <v>433986</v>
      </c>
      <c r="F30" s="15"/>
      <c r="O30" s="2">
        <f>SUM(O28-O29)</f>
        <v>6.6000223159790039E-4</v>
      </c>
    </row>
    <row r="31" spans="2:19" ht="18.75" x14ac:dyDescent="0.3">
      <c r="B31" s="41"/>
      <c r="C31" s="41"/>
      <c r="D31" s="41"/>
      <c r="E31" s="41"/>
      <c r="F31" s="15"/>
    </row>
    <row r="32" spans="2:19" ht="18.75" x14ac:dyDescent="0.3">
      <c r="B32" s="41">
        <v>2024</v>
      </c>
      <c r="C32" s="42">
        <f>SUM('расчет объема'!D20)</f>
        <v>125459599.99520001</v>
      </c>
      <c r="D32" s="42">
        <f>SUM('расчет подушевого 2024'!C28+'расчет подушевого 2024'!C29+'расчет подушевого 2024'!C59+'расчет подушевого 2024'!C60)</f>
        <v>133100663</v>
      </c>
      <c r="E32" s="42">
        <f>718800-249607</f>
        <v>469193</v>
      </c>
      <c r="F32" s="15"/>
    </row>
    <row r="33" spans="2:6" ht="18.75" x14ac:dyDescent="0.3">
      <c r="B33" s="20"/>
      <c r="C33" s="20"/>
      <c r="D33" s="20"/>
      <c r="E33" s="20"/>
      <c r="F33" s="15"/>
    </row>
    <row r="34" spans="2:6" ht="18.75" x14ac:dyDescent="0.3">
      <c r="B34" s="38"/>
      <c r="C34" s="38"/>
      <c r="D34" s="38"/>
      <c r="E34" s="38"/>
    </row>
    <row r="35" spans="2:6" ht="18.75" x14ac:dyDescent="0.3">
      <c r="B35" s="5"/>
      <c r="C35" s="5"/>
      <c r="D35" s="5"/>
      <c r="E35" s="5"/>
    </row>
    <row r="36" spans="2:6" ht="18.75" x14ac:dyDescent="0.3">
      <c r="B36" s="5"/>
      <c r="C36" s="5"/>
      <c r="D36" s="5"/>
      <c r="E36" s="5"/>
    </row>
    <row r="37" spans="2:6" ht="18.75" x14ac:dyDescent="0.3">
      <c r="B37" s="5"/>
      <c r="C37" s="5"/>
      <c r="D37" s="5"/>
      <c r="E37" s="5"/>
    </row>
    <row r="38" spans="2:6" ht="18.75" x14ac:dyDescent="0.3">
      <c r="B38" s="5"/>
      <c r="C38" s="5"/>
      <c r="D38" s="5"/>
      <c r="E38" s="5"/>
    </row>
    <row r="39" spans="2:6" ht="18.75" x14ac:dyDescent="0.3">
      <c r="B39" s="5"/>
      <c r="C39" s="5"/>
      <c r="D39" s="5"/>
      <c r="E39" s="5"/>
    </row>
    <row r="40" spans="2:6" ht="18.75" x14ac:dyDescent="0.3">
      <c r="B40" s="5"/>
      <c r="C40" s="5">
        <v>717800</v>
      </c>
      <c r="D40" s="5">
        <v>728800</v>
      </c>
      <c r="E40" s="5">
        <v>718800</v>
      </c>
    </row>
    <row r="41" spans="2:6" x14ac:dyDescent="0.25">
      <c r="C41">
        <v>104457600</v>
      </c>
      <c r="D41">
        <v>110857700</v>
      </c>
      <c r="E41">
        <v>117668600</v>
      </c>
    </row>
    <row r="42" spans="2:6" x14ac:dyDescent="0.25">
      <c r="C42">
        <v>6171600</v>
      </c>
      <c r="D42">
        <v>6607800</v>
      </c>
      <c r="E42">
        <v>7072200</v>
      </c>
    </row>
    <row r="43" spans="2:6" x14ac:dyDescent="0.25">
      <c r="C43">
        <f>SUM(C40:C42)</f>
        <v>111347000</v>
      </c>
      <c r="D43">
        <f>SUM(D40:D42)</f>
        <v>118194300</v>
      </c>
      <c r="E43">
        <f>SUM(E40:E42)</f>
        <v>125459600</v>
      </c>
    </row>
    <row r="45" spans="2:6" x14ac:dyDescent="0.25">
      <c r="C45" s="1">
        <f>SUM(C28-C43)</f>
        <v>2.7000010013580322E-3</v>
      </c>
      <c r="D45" s="1">
        <f>SUM(C30-D43)</f>
        <v>2.7000159025192261E-3</v>
      </c>
      <c r="E45" s="1">
        <f>SUM(C32-E43)</f>
        <v>-4.7999918460845947E-3</v>
      </c>
    </row>
  </sheetData>
  <mergeCells count="3">
    <mergeCell ref="B23:Q23"/>
    <mergeCell ref="B18:N18"/>
    <mergeCell ref="B20:O20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K53"/>
  <sheetViews>
    <sheetView view="pageBreakPreview" zoomScale="67" zoomScaleNormal="100" zoomScaleSheetLayoutView="67" workbookViewId="0">
      <selection activeCell="E37" sqref="E37"/>
    </sheetView>
  </sheetViews>
  <sheetFormatPr defaultColWidth="8.42578125" defaultRowHeight="15" x14ac:dyDescent="0.25"/>
  <cols>
    <col min="2" max="2" width="34.5703125" customWidth="1"/>
    <col min="3" max="3" width="38.140625" customWidth="1"/>
    <col min="4" max="4" width="36.5703125" customWidth="1"/>
    <col min="5" max="5" width="22.28515625" customWidth="1"/>
    <col min="6" max="6" width="18.85546875" customWidth="1"/>
    <col min="7" max="7" width="12.42578125" customWidth="1"/>
    <col min="8" max="8" width="13.7109375" customWidth="1"/>
    <col min="9" max="9" width="18.5703125" customWidth="1"/>
    <col min="10" max="10" width="22" customWidth="1"/>
    <col min="11" max="11" width="14.85546875" customWidth="1"/>
  </cols>
  <sheetData>
    <row r="2" spans="2:11" ht="18.75" x14ac:dyDescent="0.3">
      <c r="I2" s="5" t="s">
        <v>385</v>
      </c>
      <c r="J2" s="5"/>
      <c r="K2" s="5"/>
    </row>
    <row r="3" spans="2:11" ht="18.75" x14ac:dyDescent="0.3">
      <c r="I3" s="5" t="s">
        <v>54</v>
      </c>
      <c r="J3" s="5"/>
      <c r="K3" s="5"/>
    </row>
    <row r="4" spans="2:11" ht="18.75" x14ac:dyDescent="0.3">
      <c r="I4" s="5" t="s">
        <v>55</v>
      </c>
      <c r="J4" s="5"/>
      <c r="K4" s="5"/>
    </row>
    <row r="5" spans="2:11" ht="18.75" x14ac:dyDescent="0.3">
      <c r="I5" s="5" t="s">
        <v>56</v>
      </c>
      <c r="J5" s="5"/>
      <c r="K5" s="5"/>
    </row>
    <row r="6" spans="2:11" ht="18.75" x14ac:dyDescent="0.3">
      <c r="I6" s="5"/>
      <c r="J6" s="5"/>
      <c r="K6" s="5"/>
    </row>
    <row r="7" spans="2:11" ht="18.75" x14ac:dyDescent="0.3">
      <c r="I7" s="5"/>
      <c r="J7" s="5"/>
      <c r="K7" s="5"/>
    </row>
    <row r="8" spans="2:11" ht="18.75" x14ac:dyDescent="0.3">
      <c r="I8" s="5" t="s">
        <v>50</v>
      </c>
      <c r="J8" s="5"/>
      <c r="K8" s="5"/>
    </row>
    <row r="9" spans="2:11" ht="18.75" x14ac:dyDescent="0.3">
      <c r="I9" s="5" t="s">
        <v>51</v>
      </c>
      <c r="J9" s="5"/>
      <c r="K9" s="5"/>
    </row>
    <row r="10" spans="2:11" ht="18.75" x14ac:dyDescent="0.3">
      <c r="I10" s="5" t="s">
        <v>52</v>
      </c>
      <c r="J10" s="5"/>
      <c r="K10" s="5"/>
    </row>
    <row r="11" spans="2:11" ht="18.75" x14ac:dyDescent="0.3">
      <c r="I11" s="5" t="s">
        <v>57</v>
      </c>
      <c r="J11" s="5"/>
      <c r="K11" s="5"/>
    </row>
    <row r="12" spans="2:11" ht="18.75" x14ac:dyDescent="0.3">
      <c r="I12" s="5"/>
      <c r="J12" s="5"/>
      <c r="K12" s="5"/>
    </row>
    <row r="13" spans="2:11" ht="18.75" x14ac:dyDescent="0.3">
      <c r="I13" s="5" t="s">
        <v>58</v>
      </c>
      <c r="J13" s="5"/>
      <c r="K13" s="5"/>
    </row>
    <row r="15" spans="2:11" ht="15.6" customHeight="1" x14ac:dyDescent="0.25">
      <c r="B15" s="314" t="s">
        <v>91</v>
      </c>
      <c r="C15" s="314"/>
      <c r="D15" s="314"/>
      <c r="E15" s="314"/>
      <c r="F15" s="314"/>
      <c r="G15" s="314"/>
      <c r="H15" s="314"/>
      <c r="I15" s="314"/>
      <c r="J15" s="314"/>
    </row>
    <row r="16" spans="2:11" ht="120.95" customHeight="1" x14ac:dyDescent="0.25">
      <c r="B16" s="314"/>
      <c r="C16" s="314"/>
      <c r="D16" s="314"/>
      <c r="E16" s="314"/>
      <c r="F16" s="314"/>
      <c r="G16" s="314"/>
      <c r="H16" s="314"/>
      <c r="I16" s="314"/>
      <c r="J16" s="314"/>
    </row>
    <row r="17" spans="2:10" ht="38.25" customHeight="1" x14ac:dyDescent="0.25">
      <c r="B17" s="27"/>
      <c r="C17" s="27"/>
      <c r="D17" s="27"/>
      <c r="E17" s="27"/>
      <c r="F17" s="27"/>
      <c r="G17" s="27"/>
      <c r="H17" s="27"/>
      <c r="I17" s="27"/>
      <c r="J17" s="27"/>
    </row>
    <row r="18" spans="2:10" ht="156.75" customHeight="1" x14ac:dyDescent="0.3">
      <c r="B18" s="19" t="s">
        <v>92</v>
      </c>
      <c r="C18" s="19" t="s">
        <v>364</v>
      </c>
      <c r="D18" s="19" t="s">
        <v>365</v>
      </c>
      <c r="E18" s="34"/>
      <c r="F18" s="27"/>
      <c r="G18" s="27"/>
      <c r="H18" s="27"/>
      <c r="I18" s="27"/>
      <c r="J18" s="27"/>
    </row>
    <row r="19" spans="2:10" ht="45.2" customHeight="1" x14ac:dyDescent="0.3">
      <c r="B19" s="20"/>
      <c r="C19" s="20"/>
      <c r="D19" s="20"/>
      <c r="E19" s="35"/>
      <c r="F19" s="27"/>
      <c r="G19" s="27"/>
      <c r="H19" s="27"/>
      <c r="I19" s="27"/>
      <c r="J19" s="27"/>
    </row>
    <row r="20" spans="2:10" ht="58.35" customHeight="1" x14ac:dyDescent="0.3">
      <c r="B20" s="21">
        <f>SUM(J37)</f>
        <v>111347000.0027</v>
      </c>
      <c r="C20" s="21">
        <f>SUM(J42)</f>
        <v>118194300.00270002</v>
      </c>
      <c r="D20" s="21">
        <f>SUM(J47)</f>
        <v>125459599.99520001</v>
      </c>
      <c r="E20" s="36"/>
      <c r="F20" s="27"/>
      <c r="G20" s="27"/>
      <c r="H20" s="27"/>
      <c r="I20" s="27"/>
      <c r="J20" s="27"/>
    </row>
    <row r="21" spans="2:10" ht="25.15" customHeight="1" x14ac:dyDescent="0.3">
      <c r="B21" s="9"/>
      <c r="C21" s="5"/>
      <c r="D21" s="5"/>
      <c r="E21" s="5"/>
      <c r="F21" s="27"/>
      <c r="G21" s="27"/>
      <c r="H21" s="27"/>
      <c r="I21" s="27"/>
      <c r="J21" s="27"/>
    </row>
    <row r="23" spans="2:10" ht="21.75" x14ac:dyDescent="0.25">
      <c r="B23" s="28" t="s">
        <v>94</v>
      </c>
    </row>
    <row r="24" spans="2:10" ht="16.5" x14ac:dyDescent="0.25">
      <c r="B24" s="25"/>
    </row>
    <row r="25" spans="2:10" ht="42" customHeight="1" x14ac:dyDescent="0.25">
      <c r="B25" s="310" t="s">
        <v>84</v>
      </c>
      <c r="C25" s="311"/>
      <c r="D25" s="311"/>
      <c r="E25" s="311"/>
      <c r="F25" s="43"/>
      <c r="G25" s="43"/>
      <c r="H25" s="43"/>
      <c r="I25" s="43"/>
      <c r="J25" s="43"/>
    </row>
    <row r="26" spans="2:10" x14ac:dyDescent="0.25">
      <c r="B26" s="315" t="s">
        <v>85</v>
      </c>
      <c r="C26" s="315"/>
      <c r="D26" s="315"/>
      <c r="E26" s="315"/>
      <c r="F26" s="315"/>
      <c r="G26" s="315"/>
      <c r="H26" s="315"/>
      <c r="I26" s="315"/>
      <c r="J26" s="315"/>
    </row>
    <row r="27" spans="2:10" x14ac:dyDescent="0.25">
      <c r="B27" s="315"/>
      <c r="C27" s="315"/>
      <c r="D27" s="315"/>
      <c r="E27" s="315"/>
      <c r="F27" s="315"/>
      <c r="G27" s="315"/>
      <c r="H27" s="315"/>
      <c r="I27" s="315"/>
      <c r="J27" s="315"/>
    </row>
    <row r="28" spans="2:10" ht="34.5" customHeight="1" x14ac:dyDescent="0.25">
      <c r="B28" s="315"/>
      <c r="C28" s="315"/>
      <c r="D28" s="315"/>
      <c r="E28" s="315"/>
      <c r="F28" s="315"/>
      <c r="G28" s="315"/>
      <c r="H28" s="315"/>
      <c r="I28" s="315"/>
      <c r="J28" s="315"/>
    </row>
    <row r="29" spans="2:10" ht="33.200000000000003" customHeight="1" x14ac:dyDescent="0.25">
      <c r="B29" s="310" t="s">
        <v>93</v>
      </c>
      <c r="C29" s="311"/>
      <c r="D29" s="311"/>
      <c r="E29" s="311"/>
      <c r="F29" s="43"/>
      <c r="G29" s="43"/>
      <c r="H29" s="43"/>
      <c r="I29" s="43"/>
      <c r="J29" s="43"/>
    </row>
    <row r="30" spans="2:10" ht="42.6" customHeight="1" x14ac:dyDescent="0.25">
      <c r="B30" s="312" t="s">
        <v>342</v>
      </c>
      <c r="C30" s="313"/>
      <c r="D30" s="313"/>
      <c r="E30" s="313"/>
      <c r="F30" s="44"/>
      <c r="G30" s="44"/>
      <c r="H30" s="44"/>
      <c r="I30" s="44"/>
      <c r="J30" s="44"/>
    </row>
    <row r="33" spans="2:10" ht="35.1" customHeight="1" x14ac:dyDescent="0.25">
      <c r="B33" s="309" t="s">
        <v>86</v>
      </c>
      <c r="C33" s="309"/>
      <c r="D33" s="309"/>
      <c r="E33" s="309"/>
      <c r="F33" s="309"/>
      <c r="G33" s="309"/>
      <c r="H33" s="309"/>
      <c r="I33" s="309"/>
      <c r="J33" s="309"/>
    </row>
    <row r="35" spans="2:10" ht="167.85" customHeight="1" x14ac:dyDescent="0.25">
      <c r="B35" s="30" t="s">
        <v>76</v>
      </c>
      <c r="C35" s="31" t="s">
        <v>87</v>
      </c>
      <c r="D35" s="31" t="s">
        <v>88</v>
      </c>
      <c r="E35" s="31" t="s">
        <v>95</v>
      </c>
      <c r="F35" s="31" t="s">
        <v>97</v>
      </c>
      <c r="G35" s="31" t="s">
        <v>88</v>
      </c>
      <c r="H35" s="31" t="s">
        <v>96</v>
      </c>
      <c r="I35" s="31" t="s">
        <v>89</v>
      </c>
      <c r="J35" s="31" t="s">
        <v>98</v>
      </c>
    </row>
    <row r="36" spans="2:10" x14ac:dyDescent="0.25">
      <c r="B36" s="29">
        <v>1</v>
      </c>
      <c r="C36" s="29">
        <v>2</v>
      </c>
      <c r="D36" s="29">
        <v>3</v>
      </c>
      <c r="E36" s="29">
        <v>4</v>
      </c>
      <c r="F36" s="29">
        <v>5</v>
      </c>
      <c r="G36" s="29">
        <v>6</v>
      </c>
      <c r="H36" s="29">
        <v>7</v>
      </c>
      <c r="I36" s="29">
        <v>8</v>
      </c>
      <c r="J36" s="29">
        <v>9</v>
      </c>
    </row>
    <row r="37" spans="2:10" ht="18.75" x14ac:dyDescent="0.3">
      <c r="B37" s="32">
        <v>2022</v>
      </c>
      <c r="C37" s="33">
        <f>SUM('расчет подушевого 2022'!B24)</f>
        <v>85098.158505238098</v>
      </c>
      <c r="D37" s="32">
        <v>1470</v>
      </c>
      <c r="E37" s="32">
        <f>SUM(C37*D37)</f>
        <v>125094293.0027</v>
      </c>
      <c r="F37" s="32">
        <v>9523.81</v>
      </c>
      <c r="G37" s="32">
        <v>1470</v>
      </c>
      <c r="H37" s="32">
        <v>14000000</v>
      </c>
      <c r="I37" s="32">
        <v>252707</v>
      </c>
      <c r="J37" s="32">
        <f>SUM(E37-H37+I37)</f>
        <v>111347000.0027</v>
      </c>
    </row>
    <row r="38" spans="2:10" ht="18.75" x14ac:dyDescent="0.3">
      <c r="B38" s="32"/>
      <c r="C38" s="33"/>
      <c r="D38" s="32"/>
      <c r="E38" s="32"/>
      <c r="F38" s="32"/>
      <c r="G38" s="32"/>
      <c r="H38" s="32"/>
      <c r="I38" s="32"/>
      <c r="J38" s="32"/>
    </row>
    <row r="40" spans="2:10" ht="157.5" x14ac:dyDescent="0.25">
      <c r="B40" s="30" t="s">
        <v>76</v>
      </c>
      <c r="C40" s="31" t="s">
        <v>87</v>
      </c>
      <c r="D40" s="31" t="s">
        <v>88</v>
      </c>
      <c r="E40" s="31" t="s">
        <v>95</v>
      </c>
      <c r="F40" s="31" t="s">
        <v>97</v>
      </c>
      <c r="G40" s="31" t="s">
        <v>88</v>
      </c>
      <c r="H40" s="31" t="s">
        <v>96</v>
      </c>
      <c r="I40" s="31" t="s">
        <v>89</v>
      </c>
      <c r="J40" s="31" t="s">
        <v>98</v>
      </c>
    </row>
    <row r="41" spans="2:10" x14ac:dyDescent="0.25">
      <c r="B41" s="29">
        <v>1</v>
      </c>
      <c r="C41" s="29">
        <v>2</v>
      </c>
      <c r="D41" s="29">
        <v>3</v>
      </c>
      <c r="E41" s="29">
        <v>4</v>
      </c>
      <c r="F41" s="29">
        <v>5</v>
      </c>
      <c r="G41" s="29">
        <v>6</v>
      </c>
      <c r="H41" s="29">
        <v>7</v>
      </c>
      <c r="I41" s="29">
        <v>8</v>
      </c>
      <c r="J41" s="29">
        <v>9</v>
      </c>
    </row>
    <row r="42" spans="2:10" ht="18.75" x14ac:dyDescent="0.3">
      <c r="B42" s="32">
        <v>2023</v>
      </c>
      <c r="C42" s="33">
        <f>SUM('расчет подушевого 2022'!C24)</f>
        <v>89727.473471224497</v>
      </c>
      <c r="D42" s="32">
        <v>1470</v>
      </c>
      <c r="E42" s="32">
        <f>SUM(C42*D42)</f>
        <v>131899386.00270002</v>
      </c>
      <c r="F42" s="32">
        <v>9523.81</v>
      </c>
      <c r="G42" s="32">
        <v>1470</v>
      </c>
      <c r="H42" s="32">
        <v>14000000</v>
      </c>
      <c r="I42" s="32">
        <v>294914</v>
      </c>
      <c r="J42" s="32">
        <f>SUM(E42-H42+I42)</f>
        <v>118194300.00270002</v>
      </c>
    </row>
    <row r="43" spans="2:10" ht="18.75" x14ac:dyDescent="0.3">
      <c r="B43" s="32"/>
      <c r="C43" s="33"/>
      <c r="D43" s="32"/>
      <c r="E43" s="32"/>
      <c r="F43" s="32"/>
      <c r="G43" s="32"/>
      <c r="H43" s="32"/>
      <c r="I43" s="32"/>
      <c r="J43" s="32"/>
    </row>
    <row r="45" spans="2:10" ht="157.5" x14ac:dyDescent="0.25">
      <c r="B45" s="30" t="s">
        <v>76</v>
      </c>
      <c r="C45" s="31" t="s">
        <v>87</v>
      </c>
      <c r="D45" s="31" t="s">
        <v>88</v>
      </c>
      <c r="E45" s="31" t="s">
        <v>95</v>
      </c>
      <c r="F45" s="31" t="s">
        <v>97</v>
      </c>
      <c r="G45" s="31" t="s">
        <v>88</v>
      </c>
      <c r="H45" s="31" t="s">
        <v>96</v>
      </c>
      <c r="I45" s="31" t="s">
        <v>89</v>
      </c>
      <c r="J45" s="31" t="s">
        <v>98</v>
      </c>
    </row>
    <row r="46" spans="2:10" x14ac:dyDescent="0.25">
      <c r="B46" s="29">
        <v>1</v>
      </c>
      <c r="C46" s="29">
        <v>2</v>
      </c>
      <c r="D46" s="29">
        <v>3</v>
      </c>
      <c r="E46" s="29">
        <v>4</v>
      </c>
      <c r="F46" s="29">
        <v>5</v>
      </c>
      <c r="G46" s="29">
        <v>6</v>
      </c>
      <c r="H46" s="29">
        <v>7</v>
      </c>
      <c r="I46" s="29">
        <v>8</v>
      </c>
      <c r="J46" s="29">
        <v>9</v>
      </c>
    </row>
    <row r="47" spans="2:10" ht="18.75" x14ac:dyDescent="0.3">
      <c r="B47" s="32">
        <v>2024</v>
      </c>
      <c r="C47" s="33">
        <f>SUM('расчет подушевого 2022'!D24)</f>
        <v>94700.6074797279</v>
      </c>
      <c r="D47" s="32">
        <v>1470</v>
      </c>
      <c r="E47" s="32">
        <f>SUM(C47*D47)</f>
        <v>139209892.99520001</v>
      </c>
      <c r="F47" s="32">
        <v>9523.81</v>
      </c>
      <c r="G47" s="32">
        <v>1470</v>
      </c>
      <c r="H47" s="32">
        <v>14000000</v>
      </c>
      <c r="I47" s="32">
        <v>249707</v>
      </c>
      <c r="J47" s="32">
        <f>SUM(E47-H47+I47)</f>
        <v>125459599.99520001</v>
      </c>
    </row>
    <row r="51" spans="2:4" ht="18.75" x14ac:dyDescent="0.3">
      <c r="B51" s="5"/>
      <c r="C51" s="5"/>
      <c r="D51" s="5"/>
    </row>
    <row r="52" spans="2:4" ht="18.75" x14ac:dyDescent="0.3">
      <c r="B52" s="5"/>
      <c r="C52" s="5"/>
      <c r="D52" s="5"/>
    </row>
    <row r="53" spans="2:4" ht="18.75" x14ac:dyDescent="0.3">
      <c r="B53" s="5"/>
      <c r="C53" s="5"/>
      <c r="D53" s="5"/>
    </row>
  </sheetData>
  <mergeCells count="6">
    <mergeCell ref="B33:J33"/>
    <mergeCell ref="B25:E25"/>
    <mergeCell ref="B29:E29"/>
    <mergeCell ref="B30:E30"/>
    <mergeCell ref="B15:J16"/>
    <mergeCell ref="B26:J28"/>
  </mergeCells>
  <pageMargins left="0.70866141732283472" right="0" top="0.74803149606299213" bottom="0" header="0" footer="0"/>
  <pageSetup paperSize="9" scale="57" orientation="landscape" r:id="rId1"/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W174"/>
  <sheetViews>
    <sheetView view="pageBreakPreview" topLeftCell="A49" zoomScale="89" zoomScaleNormal="100" zoomScaleSheetLayoutView="89" workbookViewId="0">
      <selection activeCell="B116" sqref="B116:O128"/>
    </sheetView>
  </sheetViews>
  <sheetFormatPr defaultColWidth="8.42578125" defaultRowHeight="15" x14ac:dyDescent="0.25"/>
  <cols>
    <col min="2" max="2" width="31.140625" customWidth="1"/>
    <col min="3" max="3" width="32.28515625" customWidth="1"/>
    <col min="4" max="4" width="27.7109375" customWidth="1"/>
    <col min="5" max="5" width="14.28515625" customWidth="1"/>
    <col min="6" max="7" width="13.42578125" customWidth="1"/>
    <col min="8" max="8" width="11" customWidth="1"/>
    <col min="9" max="9" width="12.85546875" customWidth="1"/>
    <col min="10" max="10" width="15" customWidth="1"/>
    <col min="12" max="12" width="16" customWidth="1"/>
  </cols>
  <sheetData>
    <row r="2" spans="7:14" ht="18.75" x14ac:dyDescent="0.3">
      <c r="G2" s="5" t="s">
        <v>338</v>
      </c>
      <c r="H2" s="5"/>
      <c r="I2" s="5"/>
      <c r="M2" s="5"/>
      <c r="N2" s="5"/>
    </row>
    <row r="3" spans="7:14" ht="18.75" x14ac:dyDescent="0.3">
      <c r="G3" s="5" t="s">
        <v>54</v>
      </c>
      <c r="H3" s="5"/>
      <c r="I3" s="5"/>
      <c r="M3" s="5"/>
      <c r="N3" s="5"/>
    </row>
    <row r="4" spans="7:14" ht="18.75" x14ac:dyDescent="0.3">
      <c r="G4" s="5" t="s">
        <v>55</v>
      </c>
      <c r="H4" s="5"/>
      <c r="I4" s="5"/>
      <c r="M4" s="5"/>
      <c r="N4" s="5"/>
    </row>
    <row r="5" spans="7:14" ht="18.75" x14ac:dyDescent="0.3">
      <c r="G5" s="5" t="s">
        <v>56</v>
      </c>
      <c r="H5" s="5"/>
      <c r="I5" s="5"/>
      <c r="M5" s="5"/>
      <c r="N5" s="5"/>
    </row>
    <row r="6" spans="7:14" ht="18.75" x14ac:dyDescent="0.3">
      <c r="G6" s="5"/>
      <c r="H6" s="5"/>
      <c r="I6" s="5"/>
      <c r="M6" s="5"/>
      <c r="N6" s="5"/>
    </row>
    <row r="7" spans="7:14" ht="18.75" x14ac:dyDescent="0.3">
      <c r="G7" s="5"/>
      <c r="H7" s="5"/>
      <c r="I7" s="5"/>
      <c r="M7" s="5"/>
      <c r="N7" s="5"/>
    </row>
    <row r="8" spans="7:14" ht="18.75" x14ac:dyDescent="0.3">
      <c r="G8" s="5" t="s">
        <v>50</v>
      </c>
      <c r="H8" s="5"/>
      <c r="I8" s="5"/>
      <c r="M8" s="5"/>
      <c r="N8" s="5"/>
    </row>
    <row r="9" spans="7:14" ht="18.75" x14ac:dyDescent="0.3">
      <c r="G9" s="5" t="s">
        <v>51</v>
      </c>
      <c r="H9" s="5"/>
      <c r="I9" s="5"/>
      <c r="M9" s="5"/>
      <c r="N9" s="5"/>
    </row>
    <row r="10" spans="7:14" ht="18.75" x14ac:dyDescent="0.3">
      <c r="G10" s="5" t="s">
        <v>52</v>
      </c>
      <c r="H10" s="5"/>
      <c r="I10" s="5"/>
      <c r="M10" s="5"/>
      <c r="N10" s="5"/>
    </row>
    <row r="11" spans="7:14" ht="18.75" x14ac:dyDescent="0.3">
      <c r="G11" s="5" t="s">
        <v>57</v>
      </c>
      <c r="H11" s="5"/>
      <c r="I11" s="5"/>
      <c r="M11" s="5"/>
      <c r="N11" s="5"/>
    </row>
    <row r="12" spans="7:14" ht="18.75" x14ac:dyDescent="0.3">
      <c r="G12" s="5"/>
      <c r="H12" s="5"/>
      <c r="I12" s="5"/>
      <c r="M12" s="5"/>
      <c r="N12" s="5"/>
    </row>
    <row r="13" spans="7:14" ht="18.75" x14ac:dyDescent="0.3">
      <c r="G13" s="5" t="s">
        <v>58</v>
      </c>
      <c r="H13" s="5"/>
      <c r="I13" s="5"/>
      <c r="M13" s="5"/>
      <c r="N13" s="5"/>
    </row>
    <row r="18" spans="2:10" ht="138.94999999999999" customHeight="1" x14ac:dyDescent="0.3">
      <c r="B18" s="320" t="s">
        <v>59</v>
      </c>
      <c r="C18" s="321"/>
      <c r="D18" s="321"/>
      <c r="E18" s="321"/>
      <c r="F18" s="321"/>
      <c r="G18" s="321"/>
      <c r="H18" s="321"/>
      <c r="I18" s="321"/>
      <c r="J18" s="321"/>
    </row>
    <row r="22" spans="2:10" ht="75.2" customHeight="1" x14ac:dyDescent="0.3">
      <c r="B22" s="19" t="s">
        <v>90</v>
      </c>
      <c r="C22" s="19" t="s">
        <v>79</v>
      </c>
      <c r="D22" s="19" t="s">
        <v>80</v>
      </c>
      <c r="E22" s="15"/>
    </row>
    <row r="23" spans="2:10" ht="47.1" customHeight="1" x14ac:dyDescent="0.3">
      <c r="B23" s="20"/>
      <c r="C23" s="20"/>
      <c r="D23" s="20"/>
      <c r="E23" s="15"/>
    </row>
    <row r="24" spans="2:10" ht="48.2" customHeight="1" x14ac:dyDescent="0.3">
      <c r="B24" s="21">
        <f>SUM(C40)</f>
        <v>85098.158505238098</v>
      </c>
      <c r="C24" s="21">
        <f>SUM('расчет подушевого 2023'!C13)</f>
        <v>89727.473471224497</v>
      </c>
      <c r="D24" s="21">
        <f>SUM('расчет подушевого 2024'!C13)</f>
        <v>94700.6074797279</v>
      </c>
      <c r="E24" s="15"/>
    </row>
    <row r="25" spans="2:10" ht="46.35" customHeight="1" x14ac:dyDescent="0.3">
      <c r="B25" s="22"/>
      <c r="C25" s="20"/>
      <c r="D25" s="20"/>
      <c r="E25" s="15"/>
    </row>
    <row r="26" spans="2:10" x14ac:dyDescent="0.25">
      <c r="B26" s="16"/>
      <c r="C26" s="17"/>
      <c r="D26" s="17"/>
    </row>
    <row r="27" spans="2:10" x14ac:dyDescent="0.25">
      <c r="B27" s="18"/>
    </row>
    <row r="30" spans="2:10" ht="18.75" x14ac:dyDescent="0.3">
      <c r="B30" s="9" t="s">
        <v>75</v>
      </c>
      <c r="C30" s="9"/>
      <c r="D30" s="9"/>
    </row>
    <row r="31" spans="2:10" ht="31.35" customHeight="1" x14ac:dyDescent="0.3">
      <c r="B31" s="9" t="s">
        <v>0</v>
      </c>
      <c r="C31" s="9"/>
      <c r="D31" s="9"/>
      <c r="E31" s="9"/>
      <c r="F31" s="9"/>
      <c r="G31" s="9"/>
      <c r="H31" s="9"/>
      <c r="I31" s="9"/>
      <c r="J31" s="5"/>
    </row>
    <row r="32" spans="2:10" ht="18.75" x14ac:dyDescent="0.3">
      <c r="B32" s="5" t="s">
        <v>1</v>
      </c>
      <c r="C32" s="5"/>
      <c r="D32" s="5"/>
      <c r="E32" s="5"/>
      <c r="F32" s="5"/>
      <c r="G32" s="5"/>
      <c r="H32" s="5"/>
      <c r="I32" s="5"/>
      <c r="J32" s="5"/>
    </row>
    <row r="33" spans="2:11" ht="18.75" x14ac:dyDescent="0.3">
      <c r="B33" s="5" t="s">
        <v>2</v>
      </c>
      <c r="C33" s="5"/>
      <c r="D33" s="5"/>
      <c r="E33" s="5"/>
      <c r="F33" s="5"/>
      <c r="G33" s="5"/>
      <c r="H33" s="5"/>
      <c r="I33" s="5"/>
      <c r="J33" s="5"/>
    </row>
    <row r="34" spans="2:11" ht="18.75" x14ac:dyDescent="0.3">
      <c r="B34" s="5" t="s">
        <v>3</v>
      </c>
      <c r="C34" s="5"/>
      <c r="D34" s="5"/>
      <c r="E34" s="5"/>
      <c r="F34" s="5"/>
      <c r="G34" s="5"/>
      <c r="H34" s="5"/>
      <c r="I34" s="5"/>
      <c r="J34" s="5"/>
    </row>
    <row r="35" spans="2:11" ht="18.75" x14ac:dyDescent="0.3">
      <c r="B35" s="5" t="s">
        <v>4</v>
      </c>
      <c r="C35" s="5"/>
      <c r="D35" s="5"/>
      <c r="E35" s="5"/>
      <c r="F35" s="5"/>
      <c r="G35" s="5"/>
      <c r="H35" s="5"/>
      <c r="I35" s="5"/>
      <c r="J35" s="5"/>
    </row>
    <row r="36" spans="2:11" ht="18.75" x14ac:dyDescent="0.3">
      <c r="B36" s="5"/>
      <c r="C36" s="5"/>
      <c r="D36" s="5"/>
      <c r="E36" s="5"/>
      <c r="F36" s="5"/>
      <c r="G36" s="5"/>
      <c r="H36" s="5"/>
      <c r="I36" s="5"/>
      <c r="J36" s="5"/>
    </row>
    <row r="37" spans="2:11" ht="18.75" x14ac:dyDescent="0.3">
      <c r="B37" s="5" t="s">
        <v>5</v>
      </c>
      <c r="C37" s="8">
        <f>SUM(C60)</f>
        <v>76580.98829270326</v>
      </c>
      <c r="D37" s="5"/>
      <c r="E37" s="5"/>
      <c r="F37" s="5"/>
      <c r="G37" s="5"/>
      <c r="H37" s="5"/>
      <c r="I37" s="5"/>
      <c r="J37" s="5"/>
    </row>
    <row r="38" spans="2:11" ht="18.75" x14ac:dyDescent="0.3">
      <c r="B38" s="5" t="s">
        <v>6</v>
      </c>
      <c r="C38" s="8">
        <f>SUM(C73)</f>
        <v>8517.1702125348329</v>
      </c>
      <c r="D38" s="5"/>
      <c r="E38" s="5"/>
      <c r="F38" s="5"/>
      <c r="G38" s="5"/>
      <c r="H38" s="5"/>
      <c r="I38" s="5"/>
      <c r="J38" s="5"/>
    </row>
    <row r="39" spans="2:11" ht="18.75" x14ac:dyDescent="0.3">
      <c r="B39" s="5"/>
      <c r="C39" s="5"/>
      <c r="D39" s="5"/>
      <c r="E39" s="5"/>
      <c r="F39" s="5"/>
      <c r="G39" s="5"/>
      <c r="H39" s="5"/>
      <c r="I39" s="5"/>
      <c r="J39" s="5"/>
    </row>
    <row r="40" spans="2:11" ht="18.75" x14ac:dyDescent="0.3">
      <c r="B40" s="5" t="s">
        <v>7</v>
      </c>
      <c r="C40" s="10">
        <f>SUM(C37:C38)</f>
        <v>85098.158505238098</v>
      </c>
      <c r="D40" s="5"/>
      <c r="E40" s="5"/>
      <c r="F40" s="5"/>
      <c r="G40" s="5"/>
      <c r="H40" s="5"/>
      <c r="I40" s="8"/>
      <c r="J40" s="5"/>
    </row>
    <row r="43" spans="2:11" ht="52.7" customHeight="1" x14ac:dyDescent="0.3">
      <c r="B43" s="318" t="s">
        <v>386</v>
      </c>
      <c r="C43" s="318"/>
      <c r="D43" s="318"/>
      <c r="E43" s="318"/>
      <c r="F43" s="318"/>
      <c r="G43" s="318"/>
      <c r="H43" s="318"/>
      <c r="I43" s="318"/>
      <c r="J43" s="318"/>
      <c r="K43" s="318"/>
    </row>
    <row r="45" spans="2:11" ht="18.75" x14ac:dyDescent="0.3">
      <c r="B45" s="5" t="s">
        <v>8</v>
      </c>
      <c r="C45" s="5"/>
      <c r="D45" s="5"/>
      <c r="E45" s="5"/>
      <c r="F45" s="5"/>
      <c r="G45" s="5"/>
      <c r="H45" s="5"/>
      <c r="I45" s="5"/>
      <c r="J45" s="5"/>
      <c r="K45" s="5"/>
    </row>
    <row r="46" spans="2:11" ht="18.75" x14ac:dyDescent="0.3">
      <c r="B46" s="5" t="s">
        <v>2</v>
      </c>
      <c r="C46" s="5"/>
      <c r="D46" s="5"/>
      <c r="E46" s="5"/>
      <c r="F46" s="5"/>
      <c r="G46" s="5"/>
      <c r="H46" s="5"/>
      <c r="I46" s="5"/>
      <c r="J46" s="5"/>
      <c r="K46" s="5"/>
    </row>
    <row r="47" spans="2:11" ht="18.75" x14ac:dyDescent="0.3"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2:11" ht="57.6" customHeight="1" x14ac:dyDescent="0.3">
      <c r="B48" s="316" t="s">
        <v>9</v>
      </c>
      <c r="C48" s="316"/>
      <c r="D48" s="316"/>
      <c r="E48" s="316"/>
      <c r="F48" s="316"/>
      <c r="G48" s="316"/>
      <c r="H48" s="316"/>
      <c r="I48" s="316"/>
      <c r="J48" s="316"/>
      <c r="K48" s="316"/>
    </row>
    <row r="49" spans="2:11" ht="18.75" x14ac:dyDescent="0.3"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2:11" ht="38.85" customHeight="1" x14ac:dyDescent="0.3">
      <c r="B50" s="316" t="s">
        <v>10</v>
      </c>
      <c r="C50" s="317"/>
      <c r="D50" s="317"/>
      <c r="E50" s="317"/>
      <c r="F50" s="317"/>
      <c r="G50" s="317"/>
      <c r="H50" s="317"/>
      <c r="I50" s="317"/>
      <c r="J50" s="317"/>
      <c r="K50" s="317"/>
    </row>
    <row r="51" spans="2:11" ht="28.15" customHeight="1" x14ac:dyDescent="0.3">
      <c r="B51" s="5" t="s">
        <v>11</v>
      </c>
      <c r="C51" s="5"/>
      <c r="D51" s="5"/>
      <c r="E51" s="5"/>
      <c r="F51" s="5"/>
      <c r="G51" s="5"/>
      <c r="H51" s="5"/>
      <c r="I51" s="5"/>
      <c r="J51" s="5"/>
      <c r="K51" s="5"/>
    </row>
    <row r="52" spans="2:11" ht="18.7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2:11" ht="18.75" x14ac:dyDescent="0.3">
      <c r="B53" s="5" t="s">
        <v>12</v>
      </c>
      <c r="C53" s="5"/>
      <c r="D53" s="5"/>
      <c r="E53" s="5"/>
      <c r="F53" s="5"/>
      <c r="G53" s="5"/>
      <c r="H53" s="5"/>
      <c r="I53" s="5"/>
      <c r="J53" s="5"/>
      <c r="K53" s="5"/>
    </row>
    <row r="55" spans="2:11" ht="18.75" x14ac:dyDescent="0.3">
      <c r="B55" s="8" t="s">
        <v>13</v>
      </c>
      <c r="C55" s="8">
        <f>SUM(C141)</f>
        <v>82242607</v>
      </c>
      <c r="D55" s="5">
        <v>1470</v>
      </c>
      <c r="E55" s="5">
        <f>SUM(C55/D55)</f>
        <v>55947.351700680272</v>
      </c>
      <c r="F55" s="5"/>
      <c r="J55" s="1"/>
    </row>
    <row r="56" spans="2:11" ht="18.75" x14ac:dyDescent="0.3">
      <c r="B56" s="5" t="s">
        <v>14</v>
      </c>
      <c r="C56" s="5">
        <v>24837267.309999999</v>
      </c>
      <c r="D56" s="5">
        <v>1470</v>
      </c>
      <c r="E56" s="5">
        <f>SUM(C56/D56)</f>
        <v>16896.100210884353</v>
      </c>
      <c r="F56" s="5"/>
    </row>
    <row r="57" spans="2:11" ht="18.75" x14ac:dyDescent="0.3">
      <c r="B57" s="5" t="s">
        <v>15</v>
      </c>
      <c r="C57" s="8">
        <f>SUM(C113)</f>
        <v>3737.5363811386369</v>
      </c>
      <c r="D57" s="5"/>
      <c r="E57" s="5"/>
      <c r="F57" s="5"/>
    </row>
    <row r="58" spans="2:11" ht="18.75" x14ac:dyDescent="0.3">
      <c r="B58" s="5" t="s">
        <v>16</v>
      </c>
      <c r="C58" s="8">
        <v>0</v>
      </c>
      <c r="D58" s="5"/>
      <c r="E58" s="5"/>
      <c r="F58" s="5"/>
    </row>
    <row r="59" spans="2:11" ht="18.75" x14ac:dyDescent="0.3">
      <c r="B59" s="5"/>
      <c r="C59" s="5"/>
      <c r="D59" s="5"/>
      <c r="E59" s="5"/>
      <c r="F59" s="5"/>
    </row>
    <row r="60" spans="2:11" ht="18.75" x14ac:dyDescent="0.3">
      <c r="B60" s="9" t="s">
        <v>17</v>
      </c>
      <c r="C60" s="14">
        <f>SUM(E55+E56+C57+C58)</f>
        <v>76580.98829270326</v>
      </c>
      <c r="D60" s="5"/>
      <c r="E60" s="5"/>
      <c r="F60" s="5"/>
    </row>
    <row r="62" spans="2:11" ht="18.75" x14ac:dyDescent="0.3">
      <c r="B62" s="9" t="s">
        <v>61</v>
      </c>
      <c r="C62" s="9"/>
      <c r="D62" s="9"/>
      <c r="E62" s="9"/>
      <c r="F62" s="9"/>
      <c r="G62" s="9"/>
      <c r="H62" s="9"/>
      <c r="I62" s="9"/>
    </row>
    <row r="63" spans="2:11" ht="18.75" x14ac:dyDescent="0.3">
      <c r="B63" s="5" t="s">
        <v>18</v>
      </c>
      <c r="C63" s="5"/>
      <c r="D63" s="5"/>
      <c r="E63" s="5"/>
      <c r="F63" s="5"/>
      <c r="G63" s="5"/>
      <c r="H63" s="5"/>
      <c r="I63" s="5"/>
      <c r="J63" s="5"/>
    </row>
    <row r="64" spans="2:11" ht="18.75" x14ac:dyDescent="0.3">
      <c r="B64" s="5" t="s">
        <v>2</v>
      </c>
      <c r="C64" s="5"/>
      <c r="D64" s="5"/>
      <c r="E64" s="5"/>
      <c r="F64" s="5"/>
      <c r="G64" s="5"/>
      <c r="H64" s="5"/>
      <c r="I64" s="5"/>
      <c r="J64" s="5"/>
    </row>
    <row r="65" spans="2:18" ht="18.75" x14ac:dyDescent="0.3">
      <c r="B65" s="5"/>
      <c r="C65" s="5"/>
      <c r="D65" s="5"/>
      <c r="E65" s="5"/>
      <c r="F65" s="5"/>
      <c r="G65" s="5"/>
      <c r="H65" s="5"/>
      <c r="I65" s="5"/>
      <c r="J65" s="5"/>
    </row>
    <row r="66" spans="2:18" ht="55.7" customHeight="1" x14ac:dyDescent="0.3">
      <c r="B66" s="316" t="s">
        <v>19</v>
      </c>
      <c r="C66" s="319"/>
      <c r="D66" s="319"/>
      <c r="E66" s="319"/>
      <c r="F66" s="319"/>
      <c r="G66" s="319"/>
      <c r="H66" s="319"/>
      <c r="I66" s="319"/>
      <c r="J66" s="319"/>
    </row>
    <row r="67" spans="2:18" ht="18.75" x14ac:dyDescent="0.3">
      <c r="B67" s="5"/>
      <c r="C67" s="5"/>
      <c r="D67" s="5"/>
      <c r="E67" s="5"/>
      <c r="F67" s="5"/>
      <c r="G67" s="5"/>
      <c r="H67" s="5"/>
      <c r="I67" s="5"/>
      <c r="J67" s="5"/>
    </row>
    <row r="68" spans="2:18" ht="18.75" x14ac:dyDescent="0.3">
      <c r="B68" s="5" t="s">
        <v>20</v>
      </c>
      <c r="C68" s="5"/>
      <c r="D68" s="5"/>
      <c r="E68" s="5"/>
      <c r="F68" s="5"/>
      <c r="G68" s="5"/>
      <c r="H68" s="5"/>
      <c r="I68" s="5"/>
      <c r="J68" s="5"/>
    </row>
    <row r="69" spans="2:18" ht="18.75" x14ac:dyDescent="0.3">
      <c r="B69" s="5"/>
      <c r="C69" s="5"/>
      <c r="D69" s="5"/>
      <c r="E69" s="5"/>
      <c r="F69" s="5"/>
      <c r="G69" s="5"/>
      <c r="H69" s="5"/>
      <c r="I69" s="5"/>
      <c r="J69" s="5"/>
    </row>
    <row r="70" spans="2:18" ht="18.75" x14ac:dyDescent="0.3">
      <c r="B70" s="5" t="s">
        <v>21</v>
      </c>
      <c r="C70" s="8">
        <f>SUM(C89)</f>
        <v>12520240.212426204</v>
      </c>
      <c r="D70" s="5"/>
      <c r="E70" s="5"/>
      <c r="F70" s="5"/>
      <c r="G70" s="5"/>
      <c r="H70" s="5"/>
      <c r="I70" s="5"/>
      <c r="J70" s="5"/>
    </row>
    <row r="71" spans="2:18" ht="18.75" x14ac:dyDescent="0.3">
      <c r="B71" s="5" t="s">
        <v>22</v>
      </c>
      <c r="C71" s="5">
        <f>SUM(C101)</f>
        <v>6.8027210884353748E-4</v>
      </c>
      <c r="D71" s="5"/>
      <c r="E71" s="5"/>
      <c r="F71" s="5"/>
      <c r="G71" s="5"/>
      <c r="H71" s="5"/>
      <c r="I71" s="5"/>
      <c r="J71" s="5"/>
    </row>
    <row r="72" spans="2:18" ht="18.75" x14ac:dyDescent="0.3">
      <c r="B72" s="5"/>
      <c r="C72" s="5"/>
      <c r="D72" s="5"/>
      <c r="E72" s="5"/>
      <c r="F72" s="5"/>
      <c r="G72" s="5"/>
      <c r="H72" s="5"/>
      <c r="I72" s="5"/>
      <c r="J72" s="5"/>
    </row>
    <row r="73" spans="2:18" ht="18.75" x14ac:dyDescent="0.3">
      <c r="B73" s="9" t="s">
        <v>23</v>
      </c>
      <c r="C73" s="9">
        <f>SUM(C70*C71)</f>
        <v>8517.1702125348329</v>
      </c>
      <c r="D73" s="5"/>
      <c r="E73" s="5"/>
      <c r="F73" s="5"/>
      <c r="G73" s="5"/>
      <c r="H73" s="5"/>
      <c r="I73" s="5"/>
      <c r="J73" s="5"/>
    </row>
    <row r="76" spans="2:18" ht="35.65" customHeight="1" x14ac:dyDescent="0.3">
      <c r="B76" s="9" t="s">
        <v>62</v>
      </c>
      <c r="C76" s="9"/>
      <c r="D76" s="9"/>
      <c r="E76" s="9"/>
      <c r="F76" s="9"/>
      <c r="G76" s="9"/>
      <c r="H76" s="9"/>
      <c r="I76" s="9"/>
    </row>
    <row r="77" spans="2:18" ht="18.75" x14ac:dyDescent="0.3">
      <c r="B77" s="5" t="s">
        <v>24</v>
      </c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</row>
    <row r="78" spans="2:18" ht="18.7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</row>
    <row r="79" spans="2:18" ht="18.7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</row>
    <row r="80" spans="2:18" ht="77.650000000000006" customHeight="1" x14ac:dyDescent="0.3">
      <c r="B80" s="316" t="s">
        <v>81</v>
      </c>
      <c r="C80" s="317"/>
      <c r="D80" s="317"/>
      <c r="E80" s="317"/>
      <c r="F80" s="317"/>
      <c r="G80" s="317"/>
      <c r="H80" s="317"/>
      <c r="I80" s="317"/>
      <c r="J80" s="317"/>
      <c r="K80" s="317"/>
      <c r="L80" s="317"/>
      <c r="M80" s="5"/>
      <c r="N80" s="5"/>
      <c r="O80" s="5"/>
      <c r="P80" s="5"/>
      <c r="Q80" s="5"/>
      <c r="R80" s="5"/>
    </row>
    <row r="81" spans="2:20" ht="18.7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</row>
    <row r="82" spans="2:20" ht="36.6" customHeight="1" x14ac:dyDescent="0.3">
      <c r="B82" s="316" t="s">
        <v>66</v>
      </c>
      <c r="C82" s="317"/>
      <c r="D82" s="317"/>
      <c r="E82" s="317"/>
      <c r="F82" s="317"/>
      <c r="G82" s="317"/>
      <c r="H82" s="317"/>
      <c r="I82" s="317"/>
      <c r="J82" s="317"/>
      <c r="K82" s="317"/>
      <c r="L82" s="317"/>
      <c r="M82" s="317"/>
      <c r="N82" s="317"/>
      <c r="O82" s="317"/>
      <c r="P82" s="317"/>
      <c r="Q82" s="317"/>
      <c r="R82" s="317"/>
      <c r="S82" s="317"/>
      <c r="T82" s="317"/>
    </row>
    <row r="83" spans="2:20" ht="18.7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</row>
    <row r="84" spans="2:20" ht="60.75" customHeight="1" x14ac:dyDescent="0.3">
      <c r="B84" s="316" t="s">
        <v>82</v>
      </c>
      <c r="C84" s="317"/>
      <c r="D84" s="317"/>
      <c r="E84" s="317"/>
      <c r="F84" s="317"/>
      <c r="G84" s="317"/>
      <c r="H84" s="317"/>
      <c r="I84" s="317"/>
      <c r="J84" s="317"/>
      <c r="K84" s="317"/>
      <c r="L84" s="317"/>
      <c r="M84" s="317"/>
      <c r="N84" s="5"/>
      <c r="O84" s="5"/>
      <c r="P84" s="5"/>
      <c r="Q84" s="5"/>
      <c r="R84" s="5"/>
    </row>
    <row r="85" spans="2:20" ht="18.75" x14ac:dyDescent="0.3"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</row>
    <row r="86" spans="2:20" ht="18.75" x14ac:dyDescent="0.3">
      <c r="B86" s="5" t="s">
        <v>25</v>
      </c>
      <c r="C86" s="8">
        <f>SUM(C145)</f>
        <v>9146843</v>
      </c>
      <c r="D86" s="5"/>
      <c r="E86" s="8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</row>
    <row r="87" spans="2:20" ht="18.75" x14ac:dyDescent="0.3">
      <c r="B87" s="5" t="s">
        <v>26</v>
      </c>
      <c r="C87" s="8">
        <v>2762346.69</v>
      </c>
      <c r="D87" s="8"/>
      <c r="E87" s="8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</row>
    <row r="88" spans="2:20" ht="18.75" x14ac:dyDescent="0.3">
      <c r="B88" s="5" t="s">
        <v>27</v>
      </c>
      <c r="C88" s="8">
        <f>SUM(C158)</f>
        <v>611050.52242620476</v>
      </c>
      <c r="D88" s="5"/>
      <c r="E88" s="8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</row>
    <row r="89" spans="2:20" ht="18.75" x14ac:dyDescent="0.3">
      <c r="B89" s="9" t="s">
        <v>28</v>
      </c>
      <c r="C89" s="14">
        <f>SUM(C86:C88)</f>
        <v>12520240.212426204</v>
      </c>
      <c r="D89" s="5"/>
      <c r="E89" s="8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</row>
    <row r="92" spans="2:20" ht="40.35" customHeight="1" x14ac:dyDescent="0.3">
      <c r="B92" s="318" t="s">
        <v>67</v>
      </c>
      <c r="C92" s="319"/>
      <c r="D92" s="319"/>
      <c r="E92" s="319"/>
      <c r="F92" s="319"/>
      <c r="G92" s="319"/>
      <c r="H92" s="319"/>
      <c r="I92" s="319"/>
      <c r="J92" s="319"/>
      <c r="K92" s="319"/>
    </row>
    <row r="93" spans="2:20" ht="18.75" x14ac:dyDescent="0.3">
      <c r="B93" s="5" t="s">
        <v>63</v>
      </c>
      <c r="C93" s="5"/>
      <c r="D93" s="5"/>
      <c r="E93" s="5"/>
      <c r="F93" s="5"/>
      <c r="G93" s="5"/>
      <c r="H93" s="5"/>
    </row>
    <row r="94" spans="2:20" ht="18.75" x14ac:dyDescent="0.3">
      <c r="B94" s="5" t="s">
        <v>29</v>
      </c>
      <c r="C94" s="5"/>
      <c r="D94" s="5"/>
      <c r="E94" s="5"/>
      <c r="F94" s="5"/>
      <c r="G94" s="5"/>
      <c r="H94" s="5"/>
    </row>
    <row r="95" spans="2:20" ht="18.75" x14ac:dyDescent="0.3">
      <c r="B95" s="5"/>
      <c r="C95" s="5"/>
      <c r="D95" s="5"/>
      <c r="E95" s="5"/>
      <c r="F95" s="5"/>
      <c r="G95" s="5"/>
      <c r="H95" s="5"/>
    </row>
    <row r="96" spans="2:20" ht="18.75" x14ac:dyDescent="0.3">
      <c r="B96" s="5" t="s">
        <v>30</v>
      </c>
      <c r="C96" s="5"/>
      <c r="D96" s="5"/>
      <c r="E96" s="5"/>
      <c r="F96" s="5"/>
      <c r="G96" s="5"/>
      <c r="H96" s="5"/>
    </row>
    <row r="97" spans="2:12" ht="18.75" x14ac:dyDescent="0.3">
      <c r="B97" s="5"/>
      <c r="C97" s="5"/>
      <c r="D97" s="5"/>
      <c r="E97" s="5"/>
      <c r="F97" s="5"/>
      <c r="G97" s="5"/>
      <c r="H97" s="5"/>
    </row>
    <row r="98" spans="2:12" ht="18.75" x14ac:dyDescent="0.3">
      <c r="B98" s="5" t="s">
        <v>31</v>
      </c>
      <c r="C98" s="8">
        <f>SUM(C37)</f>
        <v>76580.98829270326</v>
      </c>
      <c r="D98" s="5"/>
      <c r="E98" s="5"/>
      <c r="F98" s="5"/>
      <c r="G98" s="5"/>
      <c r="H98" s="5"/>
    </row>
    <row r="99" spans="2:12" ht="18.75" x14ac:dyDescent="0.3">
      <c r="B99" s="5" t="s">
        <v>32</v>
      </c>
      <c r="C99" s="8">
        <f>SUM(C37)*1470</f>
        <v>112574052.79027379</v>
      </c>
      <c r="D99" s="5"/>
      <c r="E99" s="5"/>
      <c r="F99" s="5"/>
      <c r="G99" s="5"/>
      <c r="H99" s="5"/>
    </row>
    <row r="100" spans="2:12" ht="18.75" x14ac:dyDescent="0.3">
      <c r="B100" s="9"/>
      <c r="C100" s="9"/>
      <c r="D100" s="5"/>
      <c r="E100" s="5"/>
      <c r="F100" s="5"/>
      <c r="G100" s="5"/>
      <c r="H100" s="5"/>
    </row>
    <row r="101" spans="2:12" ht="18.75" x14ac:dyDescent="0.3">
      <c r="B101" s="9" t="s">
        <v>22</v>
      </c>
      <c r="C101" s="9">
        <f>SUM(C98/C99)</f>
        <v>6.8027210884353748E-4</v>
      </c>
      <c r="D101" s="5"/>
      <c r="E101" s="5"/>
      <c r="F101" s="5"/>
      <c r="G101" s="5"/>
      <c r="H101" s="5"/>
    </row>
    <row r="103" spans="2:12" ht="47.1" customHeight="1" x14ac:dyDescent="0.3">
      <c r="B103" s="318" t="s">
        <v>68</v>
      </c>
      <c r="C103" s="316"/>
      <c r="D103" s="316"/>
      <c r="E103" s="316"/>
      <c r="F103" s="316"/>
      <c r="G103" s="316"/>
      <c r="H103" s="316"/>
      <c r="I103" s="316"/>
      <c r="J103" s="316"/>
      <c r="K103" s="316"/>
      <c r="L103" s="316"/>
    </row>
    <row r="104" spans="2:12" ht="18.75" x14ac:dyDescent="0.3">
      <c r="B104" s="5" t="s">
        <v>33</v>
      </c>
      <c r="C104" s="5"/>
      <c r="D104" s="5"/>
      <c r="E104" s="5"/>
      <c r="F104" s="5"/>
      <c r="G104" s="5"/>
      <c r="H104" s="5"/>
      <c r="I104" s="5"/>
      <c r="J104" s="5"/>
      <c r="K104" s="5"/>
      <c r="L104" s="5"/>
    </row>
    <row r="105" spans="2:12" ht="18.75" x14ac:dyDescent="0.3">
      <c r="B105" s="5" t="s">
        <v>2</v>
      </c>
      <c r="C105" s="5"/>
      <c r="D105" s="5"/>
      <c r="E105" s="5"/>
      <c r="F105" s="5"/>
      <c r="G105" s="5"/>
      <c r="H105" s="5"/>
      <c r="I105" s="5"/>
      <c r="J105" s="5"/>
      <c r="K105" s="5"/>
      <c r="L105" s="5"/>
    </row>
    <row r="106" spans="2:12" ht="18.75" x14ac:dyDescent="0.3"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</row>
    <row r="107" spans="2:12" ht="18.75" x14ac:dyDescent="0.3">
      <c r="B107" s="5" t="s">
        <v>34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</row>
    <row r="108" spans="2:12" ht="18.75" x14ac:dyDescent="0.3"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</row>
    <row r="109" spans="2:12" ht="42.6" customHeight="1" x14ac:dyDescent="0.3">
      <c r="B109" s="316" t="s">
        <v>69</v>
      </c>
      <c r="C109" s="319"/>
      <c r="D109" s="319"/>
      <c r="E109" s="319"/>
      <c r="F109" s="319"/>
      <c r="G109" s="319"/>
      <c r="H109" s="319"/>
      <c r="I109" s="319"/>
      <c r="J109" s="319"/>
      <c r="K109" s="319"/>
      <c r="L109" s="5"/>
    </row>
    <row r="110" spans="2:12" ht="18.75" x14ac:dyDescent="0.3"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</row>
    <row r="111" spans="2:12" ht="18.75" x14ac:dyDescent="0.3">
      <c r="B111" s="5" t="s">
        <v>35</v>
      </c>
      <c r="C111" s="8">
        <f>SUM(C130)</f>
        <v>6105229.002700001</v>
      </c>
      <c r="D111" s="5"/>
      <c r="E111" s="5"/>
      <c r="F111" s="5"/>
      <c r="G111" s="5"/>
      <c r="H111" s="5"/>
      <c r="I111" s="5"/>
      <c r="J111" s="5"/>
      <c r="K111" s="5"/>
      <c r="L111" s="5"/>
    </row>
    <row r="112" spans="2:12" ht="18.75" x14ac:dyDescent="0.3">
      <c r="B112" s="5" t="s">
        <v>36</v>
      </c>
      <c r="C112" s="5">
        <f>SUM(E147)</f>
        <v>6.1218610792252576E-4</v>
      </c>
      <c r="D112" s="5"/>
      <c r="E112" s="5"/>
      <c r="F112" s="5"/>
      <c r="G112" s="5"/>
      <c r="H112" s="5"/>
      <c r="I112" s="5"/>
      <c r="J112" s="5"/>
      <c r="K112" s="5"/>
      <c r="L112" s="5"/>
    </row>
    <row r="113" spans="2:15" ht="18.75" x14ac:dyDescent="0.3">
      <c r="B113" s="9" t="s">
        <v>37</v>
      </c>
      <c r="C113" s="9">
        <f>SUM(C111*C112)</f>
        <v>3737.5363811386369</v>
      </c>
      <c r="D113" s="5"/>
      <c r="E113" s="5"/>
      <c r="F113" s="5"/>
      <c r="G113" s="5"/>
      <c r="H113" s="5"/>
      <c r="I113" s="5"/>
      <c r="J113" s="5"/>
      <c r="K113" s="5"/>
      <c r="L113" s="5"/>
    </row>
    <row r="116" spans="2:15" ht="41.45" customHeight="1" x14ac:dyDescent="0.3">
      <c r="B116" s="318" t="s">
        <v>70</v>
      </c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M116" s="317"/>
      <c r="N116" s="317"/>
      <c r="O116" s="317"/>
    </row>
    <row r="117" spans="2:15" ht="15" customHeight="1" x14ac:dyDescent="0.3">
      <c r="B117" s="5" t="s">
        <v>387</v>
      </c>
      <c r="C117" s="5"/>
      <c r="D117" s="5"/>
      <c r="E117" s="5"/>
      <c r="F117" s="5"/>
    </row>
    <row r="118" spans="2:15" ht="18.75" x14ac:dyDescent="0.3">
      <c r="B118" s="5" t="s">
        <v>2</v>
      </c>
      <c r="C118" s="5"/>
      <c r="D118" s="5"/>
      <c r="E118" s="5"/>
      <c r="F118" s="5"/>
    </row>
    <row r="119" spans="2:15" ht="18.75" x14ac:dyDescent="0.3">
      <c r="B119" s="5"/>
      <c r="C119" s="5"/>
      <c r="D119" s="5"/>
      <c r="E119" s="5"/>
      <c r="F119" s="5"/>
    </row>
    <row r="120" spans="2:15" ht="18.75" x14ac:dyDescent="0.3">
      <c r="B120" s="5" t="s">
        <v>388</v>
      </c>
      <c r="C120" s="5"/>
      <c r="D120" s="5"/>
      <c r="E120" s="5"/>
      <c r="F120" s="5"/>
    </row>
    <row r="121" spans="2:15" ht="18.75" x14ac:dyDescent="0.3">
      <c r="B121" s="5"/>
      <c r="C121" s="5"/>
      <c r="D121" s="5"/>
      <c r="E121" s="5"/>
      <c r="F121" s="5"/>
    </row>
    <row r="122" spans="2:15" ht="18.75" x14ac:dyDescent="0.3">
      <c r="B122" s="5" t="s">
        <v>389</v>
      </c>
      <c r="C122" s="5"/>
      <c r="D122" s="5"/>
      <c r="E122" s="5"/>
      <c r="F122" s="5"/>
    </row>
    <row r="123" spans="2:15" ht="18.75" x14ac:dyDescent="0.3">
      <c r="B123" s="5"/>
      <c r="C123" s="5"/>
      <c r="D123" s="5"/>
      <c r="E123" s="5"/>
      <c r="F123" s="5"/>
    </row>
    <row r="124" spans="2:15" ht="18.75" x14ac:dyDescent="0.3">
      <c r="B124" s="5" t="s">
        <v>390</v>
      </c>
      <c r="C124" s="5"/>
      <c r="D124" s="5"/>
      <c r="E124" s="5"/>
      <c r="F124" s="5"/>
    </row>
    <row r="125" spans="2:15" ht="18.75" x14ac:dyDescent="0.3">
      <c r="B125" s="5"/>
      <c r="C125" s="5"/>
      <c r="D125" s="5"/>
      <c r="E125" s="5"/>
      <c r="F125" s="5"/>
    </row>
    <row r="126" spans="2:15" ht="18.75" x14ac:dyDescent="0.3">
      <c r="B126" s="5" t="s">
        <v>391</v>
      </c>
      <c r="C126" s="5"/>
      <c r="D126" s="5"/>
      <c r="E126" s="5"/>
      <c r="F126" s="5"/>
    </row>
    <row r="127" spans="2:15" ht="18.75" x14ac:dyDescent="0.3">
      <c r="B127" s="5"/>
      <c r="C127" s="5"/>
      <c r="D127" s="5"/>
      <c r="E127" s="5"/>
      <c r="F127" s="5"/>
    </row>
    <row r="128" spans="2:15" ht="18.75" x14ac:dyDescent="0.3">
      <c r="B128" s="5" t="s">
        <v>392</v>
      </c>
      <c r="C128" s="5"/>
      <c r="D128" s="5"/>
      <c r="E128" s="5"/>
      <c r="F128" s="5"/>
    </row>
    <row r="129" spans="2:23" ht="18.75" x14ac:dyDescent="0.3">
      <c r="B129" s="5"/>
      <c r="C129" s="5"/>
      <c r="D129" s="5"/>
      <c r="E129" s="5"/>
      <c r="F129" s="5"/>
    </row>
    <row r="130" spans="2:23" ht="18.75" x14ac:dyDescent="0.3">
      <c r="B130" s="9" t="s">
        <v>38</v>
      </c>
      <c r="C130" s="14">
        <f>SUM('[1]2022,'!$F$430-'[1]2022,'!$F$73-'[1]2022,'!$F$20)-77920+2.41+77930-112.41</f>
        <v>6105229.002700001</v>
      </c>
      <c r="D130" s="5"/>
      <c r="E130" s="5"/>
      <c r="F130" s="5"/>
    </row>
    <row r="133" spans="2:23" ht="50.85" customHeight="1" x14ac:dyDescent="0.3">
      <c r="B133" s="318" t="s">
        <v>71</v>
      </c>
      <c r="C133" s="319"/>
      <c r="D133" s="319"/>
      <c r="E133" s="319"/>
      <c r="F133" s="319"/>
      <c r="G133" s="319"/>
      <c r="H133" s="319"/>
      <c r="I133" s="319"/>
      <c r="J133" s="319"/>
      <c r="K133" s="319"/>
      <c r="L133" s="319"/>
      <c r="M133" s="319"/>
      <c r="N133" s="319"/>
      <c r="O133" s="319"/>
    </row>
    <row r="134" spans="2:23" ht="18.75" x14ac:dyDescent="0.3">
      <c r="B134" s="5" t="s">
        <v>39</v>
      </c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2:23" ht="18.75" x14ac:dyDescent="0.3">
      <c r="B135" s="5" t="s">
        <v>2</v>
      </c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2:23" ht="18.75" x14ac:dyDescent="0.3"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2:23" ht="50.85" customHeight="1" x14ac:dyDescent="0.3">
      <c r="B137" s="316" t="s">
        <v>72</v>
      </c>
      <c r="C137" s="317"/>
      <c r="D137" s="317"/>
      <c r="E137" s="317"/>
      <c r="F137" s="317"/>
      <c r="G137" s="317"/>
      <c r="H137" s="317"/>
      <c r="I137" s="317"/>
      <c r="J137" s="317"/>
      <c r="K137" s="317"/>
      <c r="L137" s="317"/>
      <c r="M137" s="317"/>
      <c r="N137" s="317"/>
      <c r="O137" s="5"/>
      <c r="P137" s="5"/>
      <c r="Q137" s="5"/>
      <c r="R137" s="5"/>
      <c r="S137" s="5"/>
      <c r="T137" s="5"/>
      <c r="U137" s="5"/>
    </row>
    <row r="138" spans="2:23" ht="18.75" x14ac:dyDescent="0.3"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2:23" ht="48.95" customHeight="1" x14ac:dyDescent="0.3">
      <c r="B139" s="316" t="s">
        <v>73</v>
      </c>
      <c r="C139" s="317"/>
      <c r="D139" s="317"/>
      <c r="E139" s="317"/>
      <c r="F139" s="317"/>
      <c r="G139" s="317"/>
      <c r="H139" s="317"/>
      <c r="I139" s="317"/>
      <c r="J139" s="317"/>
      <c r="K139" s="317"/>
      <c r="L139" s="317"/>
      <c r="M139" s="317"/>
      <c r="N139" s="317"/>
      <c r="O139" s="317"/>
      <c r="P139" s="317"/>
      <c r="Q139" s="317"/>
      <c r="R139" s="317"/>
      <c r="S139" s="317"/>
      <c r="T139" s="317"/>
      <c r="U139" s="317"/>
      <c r="V139" s="317"/>
      <c r="W139" s="317"/>
    </row>
    <row r="140" spans="2:23" ht="18.75" x14ac:dyDescent="0.3"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2:23" ht="18.75" x14ac:dyDescent="0.3">
      <c r="B141" s="5" t="s">
        <v>40</v>
      </c>
      <c r="C141" s="8">
        <v>82242607</v>
      </c>
      <c r="D141" s="5">
        <v>1470</v>
      </c>
      <c r="E141" s="5">
        <f>C141/D141</f>
        <v>55947.351700680272</v>
      </c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2:23" ht="18.75" x14ac:dyDescent="0.3"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2:23" ht="18.75" x14ac:dyDescent="0.3">
      <c r="B143" s="5" t="s">
        <v>41</v>
      </c>
      <c r="C143" s="11">
        <f>SUM(E141*D141)</f>
        <v>82242607</v>
      </c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2:23" ht="18.75" x14ac:dyDescent="0.3"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2:10" ht="18.75" x14ac:dyDescent="0.3">
      <c r="B145" s="5" t="s">
        <v>42</v>
      </c>
      <c r="C145" s="8">
        <v>9146843</v>
      </c>
      <c r="D145" s="5"/>
      <c r="E145" s="5"/>
      <c r="F145" s="8"/>
      <c r="G145" s="1"/>
    </row>
    <row r="146" spans="2:10" ht="18.75" x14ac:dyDescent="0.3">
      <c r="B146" s="5"/>
      <c r="C146" s="5"/>
      <c r="D146" s="5"/>
      <c r="E146" s="5"/>
      <c r="F146" s="5"/>
    </row>
    <row r="147" spans="2:10" ht="18.75" x14ac:dyDescent="0.3">
      <c r="B147" s="9" t="s">
        <v>43</v>
      </c>
      <c r="C147" s="5">
        <f>SUM(E141)</f>
        <v>55947.351700680272</v>
      </c>
      <c r="D147" s="5">
        <f>SUM(C143+C145)</f>
        <v>91389450</v>
      </c>
      <c r="E147" s="9">
        <f>SUM(C147/D147)</f>
        <v>6.1218610792252576E-4</v>
      </c>
      <c r="F147" s="5"/>
    </row>
    <row r="149" spans="2:10" ht="18.75" x14ac:dyDescent="0.3">
      <c r="B149" s="9" t="s">
        <v>64</v>
      </c>
      <c r="C149" s="9"/>
      <c r="D149" s="9"/>
      <c r="E149" s="9"/>
      <c r="F149" s="9"/>
      <c r="G149" s="9"/>
    </row>
    <row r="150" spans="2:10" ht="18.75" x14ac:dyDescent="0.3">
      <c r="B150" s="5" t="s">
        <v>44</v>
      </c>
      <c r="C150" s="5"/>
      <c r="D150" s="5"/>
      <c r="E150" s="5"/>
      <c r="F150" s="5"/>
      <c r="G150" s="5"/>
      <c r="H150" s="5"/>
      <c r="I150" s="5"/>
    </row>
    <row r="151" spans="2:10" ht="18.75" x14ac:dyDescent="0.3">
      <c r="B151" s="5" t="s">
        <v>2</v>
      </c>
      <c r="C151" s="5"/>
      <c r="D151" s="5"/>
      <c r="E151" s="5"/>
      <c r="F151" s="5"/>
      <c r="G151" s="5"/>
      <c r="H151" s="5"/>
      <c r="I151" s="5"/>
    </row>
    <row r="152" spans="2:10" ht="18.75" x14ac:dyDescent="0.3">
      <c r="B152" s="5"/>
      <c r="C152" s="5"/>
      <c r="D152" s="5"/>
      <c r="E152" s="5"/>
      <c r="F152" s="5"/>
      <c r="G152" s="5"/>
      <c r="H152" s="5"/>
      <c r="I152" s="5"/>
    </row>
    <row r="153" spans="2:10" ht="18.75" x14ac:dyDescent="0.3">
      <c r="B153" s="5" t="s">
        <v>45</v>
      </c>
      <c r="C153" s="5"/>
      <c r="D153" s="5"/>
      <c r="E153" s="5"/>
      <c r="F153" s="5"/>
      <c r="G153" s="5"/>
      <c r="H153" s="5"/>
      <c r="I153" s="5"/>
    </row>
    <row r="154" spans="2:10" ht="18.75" x14ac:dyDescent="0.3">
      <c r="B154" s="5" t="s">
        <v>46</v>
      </c>
      <c r="C154" s="5"/>
      <c r="D154" s="5"/>
      <c r="E154" s="5"/>
      <c r="F154" s="5"/>
      <c r="G154" s="5"/>
      <c r="H154" s="5"/>
      <c r="I154" s="5"/>
    </row>
    <row r="155" spans="2:10" ht="18.75" x14ac:dyDescent="0.3">
      <c r="B155" s="5"/>
      <c r="C155" s="5"/>
      <c r="D155" s="5"/>
      <c r="E155" s="5"/>
      <c r="F155" s="5"/>
      <c r="G155" s="5"/>
      <c r="H155" s="5"/>
      <c r="I155" s="5"/>
    </row>
    <row r="156" spans="2:10" ht="18.75" x14ac:dyDescent="0.3">
      <c r="B156" s="5" t="s">
        <v>47</v>
      </c>
      <c r="C156" s="8">
        <f>SUM(C130)</f>
        <v>6105229.002700001</v>
      </c>
      <c r="D156" s="5"/>
      <c r="E156" s="5"/>
      <c r="F156" s="5"/>
      <c r="G156" s="5"/>
      <c r="H156" s="5"/>
      <c r="I156" s="5"/>
    </row>
    <row r="157" spans="2:10" ht="18.75" x14ac:dyDescent="0.3">
      <c r="B157" s="5" t="s">
        <v>48</v>
      </c>
      <c r="C157" s="8">
        <f>SUM(C113)*1470</f>
        <v>5494178.4802737962</v>
      </c>
      <c r="D157" s="5"/>
      <c r="E157" s="5"/>
      <c r="F157" s="5"/>
      <c r="G157" s="5"/>
      <c r="H157" s="5"/>
      <c r="I157" s="5"/>
    </row>
    <row r="158" spans="2:10" ht="18.75" x14ac:dyDescent="0.3">
      <c r="B158" s="9" t="s">
        <v>49</v>
      </c>
      <c r="C158" s="14">
        <f>SUM(C156-C157)</f>
        <v>611050.52242620476</v>
      </c>
      <c r="D158" s="5"/>
      <c r="E158" s="5"/>
      <c r="F158" s="5"/>
      <c r="G158" s="5"/>
      <c r="H158" s="5"/>
      <c r="I158" s="5"/>
    </row>
    <row r="160" spans="2:10" ht="15.75" x14ac:dyDescent="0.25">
      <c r="B160" s="13"/>
      <c r="C160" s="4"/>
      <c r="D160" s="4"/>
      <c r="E160" s="4"/>
      <c r="F160" s="4"/>
      <c r="G160" s="4"/>
      <c r="H160" s="4"/>
      <c r="I160" s="4"/>
      <c r="J160" s="4"/>
    </row>
    <row r="161" spans="2:13" ht="15.75" x14ac:dyDescent="0.25">
      <c r="B161" s="13"/>
      <c r="C161" s="4"/>
      <c r="D161" s="4"/>
      <c r="E161" s="4"/>
      <c r="F161" s="4"/>
      <c r="G161" s="4"/>
      <c r="H161" s="4"/>
      <c r="I161" s="4"/>
      <c r="J161" s="4"/>
    </row>
    <row r="162" spans="2:13" ht="24" x14ac:dyDescent="0.3">
      <c r="B162" s="12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</row>
    <row r="163" spans="2:13" ht="15.75" x14ac:dyDescent="0.25">
      <c r="B163" s="13" t="s">
        <v>65</v>
      </c>
      <c r="C163" s="4"/>
      <c r="D163" s="4"/>
    </row>
    <row r="164" spans="2:13" ht="15.75" x14ac:dyDescent="0.25">
      <c r="B164" s="13" t="s">
        <v>74</v>
      </c>
      <c r="C164" s="4"/>
      <c r="D164" s="4"/>
    </row>
    <row r="169" spans="2:13" x14ac:dyDescent="0.25">
      <c r="C169">
        <v>211</v>
      </c>
      <c r="D169" s="3">
        <f>SUM(C55+C86)</f>
        <v>91389450</v>
      </c>
      <c r="E169" s="1">
        <f>SUM('[2]ЗАПОЛНИТЬ ЮЛЯ (2)'!E20+'[2]ЗАПОЛНИТЬ ЮЛЯ (2)'!E22+'[2]ЗАПОЛНИТЬ ЮЛЯ (2)'!E23+'[2]ЗАПОЛНИТЬ ЮЛЯ (2)'!E222+'[2]ЗАПОЛНИТЬ ЮЛЯ (2)'!E224+'[2]ЗАПОЛНИТЬ ЮЛЯ (2)'!E225)</f>
        <v>91389450</v>
      </c>
      <c r="J169" s="3">
        <f>SUM(D169-E169)</f>
        <v>0</v>
      </c>
    </row>
    <row r="170" spans="2:13" x14ac:dyDescent="0.25">
      <c r="B170" s="1">
        <f>SUM(D169:D170)</f>
        <v>118989064</v>
      </c>
      <c r="C170">
        <v>213</v>
      </c>
      <c r="D170" s="1">
        <f>SUM(C56+C87)</f>
        <v>27599614</v>
      </c>
      <c r="E170" s="1">
        <f>SUM('[2]ЗАПОЛНИТЬ ЮЛЯ (2)'!E21+'[2]ЗАПОЛНИТЬ ЮЛЯ (2)'!E24+'[2]ЗАПОЛНИТЬ ЮЛЯ (2)'!E223+'[2]ЗАПОЛНИТЬ ЮЛЯ (2)'!E226)</f>
        <v>27599614.000659999</v>
      </c>
      <c r="F170" s="1">
        <f>SUM(E169:E170)</f>
        <v>118989064.00066</v>
      </c>
      <c r="G170" s="1">
        <f>SUM(D169:D170)</f>
        <v>118989064</v>
      </c>
      <c r="H170">
        <v>118989064</v>
      </c>
      <c r="I170" s="1">
        <f>SUM(G170-H170)</f>
        <v>0</v>
      </c>
      <c r="J170" s="1">
        <f>SUM(D170-E170)</f>
        <v>-6.5999850630760193E-4</v>
      </c>
    </row>
    <row r="171" spans="2:13" x14ac:dyDescent="0.25">
      <c r="C171">
        <v>244</v>
      </c>
      <c r="D171" s="1">
        <f>SUM(C130)</f>
        <v>6105229.002700001</v>
      </c>
      <c r="G171">
        <v>6105229</v>
      </c>
      <c r="H171" s="1">
        <f>SUM(D171-G171)</f>
        <v>2.7000010013580322E-3</v>
      </c>
    </row>
    <row r="172" spans="2:13" x14ac:dyDescent="0.25">
      <c r="D172" s="1">
        <f>SUM(D169:D171)</f>
        <v>125094293.0027</v>
      </c>
      <c r="E172">
        <v>14000000</v>
      </c>
      <c r="F172" s="1">
        <f>252607+100</f>
        <v>252707</v>
      </c>
      <c r="G172" s="1">
        <f>SUM(D172-E172+F172)</f>
        <v>111347000.0027</v>
      </c>
    </row>
    <row r="173" spans="2:13" x14ac:dyDescent="0.25">
      <c r="D173" s="2">
        <v>125094293</v>
      </c>
    </row>
    <row r="174" spans="2:13" x14ac:dyDescent="0.25">
      <c r="D174" s="1">
        <f>SUM(D172-D173)</f>
        <v>2.7000010013580322E-3</v>
      </c>
      <c r="G174" s="1">
        <f>SUM(G172+G173)</f>
        <v>111347000.0027</v>
      </c>
      <c r="J174" s="1"/>
    </row>
  </sheetData>
  <mergeCells count="15">
    <mergeCell ref="B43:K43"/>
    <mergeCell ref="B48:K48"/>
    <mergeCell ref="B18:J18"/>
    <mergeCell ref="B50:K50"/>
    <mergeCell ref="B80:L80"/>
    <mergeCell ref="B139:W139"/>
    <mergeCell ref="B133:O133"/>
    <mergeCell ref="B66:J66"/>
    <mergeCell ref="B92:K92"/>
    <mergeCell ref="B109:K109"/>
    <mergeCell ref="B82:T82"/>
    <mergeCell ref="B84:M84"/>
    <mergeCell ref="B103:L103"/>
    <mergeCell ref="B116:O116"/>
    <mergeCell ref="B137:N137"/>
  </mergeCells>
  <pageMargins left="0.78740157480314965" right="0" top="0" bottom="0" header="0" footer="0"/>
  <pageSetup paperSize="9" scale="62" orientation="landscape" r:id="rId1"/>
  <rowBreaks count="3" manualBreakCount="3">
    <brk id="27" max="10" man="1"/>
    <brk id="61" max="10" man="1"/>
    <brk id="102" max="10" man="1"/>
  </rowBreaks>
  <colBreaks count="2" manualBreakCount="2">
    <brk id="16" max="158" man="1"/>
    <brk id="34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Z450"/>
  <sheetViews>
    <sheetView view="pageBreakPreview" topLeftCell="B396" zoomScale="84" zoomScaleNormal="100" zoomScaleSheetLayoutView="84" workbookViewId="0">
      <selection activeCell="F410" sqref="F410"/>
    </sheetView>
  </sheetViews>
  <sheetFormatPr defaultColWidth="8.42578125" defaultRowHeight="15" x14ac:dyDescent="0.25"/>
  <cols>
    <col min="2" max="2" width="45.28515625" customWidth="1"/>
    <col min="3" max="3" width="20" customWidth="1"/>
    <col min="4" max="4" width="17.5703125" customWidth="1"/>
    <col min="5" max="5" width="17" customWidth="1"/>
    <col min="6" max="6" width="19.5703125" customWidth="1"/>
    <col min="7" max="7" width="14" customWidth="1"/>
    <col min="8" max="8" width="14.28515625" customWidth="1"/>
    <col min="9" max="9" width="18.7109375" customWidth="1"/>
    <col min="10" max="10" width="10.140625" customWidth="1"/>
    <col min="11" max="11" width="15.5703125" customWidth="1"/>
  </cols>
  <sheetData>
    <row r="2" spans="2:26" ht="57" customHeight="1" x14ac:dyDescent="0.3">
      <c r="B2" s="318" t="s">
        <v>347</v>
      </c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</row>
    <row r="4" spans="2:26" ht="37.700000000000003" customHeight="1" x14ac:dyDescent="0.25">
      <c r="B4" s="324" t="s">
        <v>349</v>
      </c>
      <c r="C4" s="324"/>
      <c r="D4" s="324"/>
      <c r="E4" s="324"/>
      <c r="F4" s="324"/>
      <c r="G4" s="324"/>
      <c r="H4" s="324"/>
      <c r="I4" s="324"/>
      <c r="J4" s="324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2:26" ht="18.75" x14ac:dyDescent="0.3">
      <c r="C5" s="9" t="s">
        <v>381</v>
      </c>
    </row>
    <row r="7" spans="2:26" ht="38.25" customHeight="1" x14ac:dyDescent="0.25">
      <c r="B7" s="324" t="s">
        <v>362</v>
      </c>
      <c r="C7" s="324"/>
      <c r="D7" s="324"/>
      <c r="E7" s="324"/>
      <c r="F7" s="324"/>
      <c r="G7" s="324"/>
      <c r="H7" s="324"/>
      <c r="I7" s="324"/>
      <c r="J7" s="324"/>
      <c r="K7" s="6"/>
      <c r="L7" s="6"/>
      <c r="M7" s="6"/>
      <c r="N7" s="6"/>
      <c r="O7" s="6"/>
    </row>
    <row r="9" spans="2:26" ht="54.6" customHeight="1" x14ac:dyDescent="0.25">
      <c r="B9" s="70" t="s">
        <v>101</v>
      </c>
      <c r="C9" s="71" t="s">
        <v>102</v>
      </c>
      <c r="D9" s="71" t="s">
        <v>103</v>
      </c>
      <c r="E9" s="71" t="s">
        <v>104</v>
      </c>
      <c r="F9" s="15"/>
    </row>
    <row r="10" spans="2:26" ht="96.4" customHeight="1" x14ac:dyDescent="0.25">
      <c r="B10" s="48" t="s">
        <v>378</v>
      </c>
      <c r="C10" s="211">
        <f>SUM([2]Лист7!A2)</f>
        <v>70970276.390000001</v>
      </c>
      <c r="D10" s="211">
        <v>4908057.2699999996</v>
      </c>
      <c r="E10" s="211">
        <f t="shared" ref="E10:E16" si="0">SUM(C10:D10)</f>
        <v>75878333.659999996</v>
      </c>
      <c r="F10" s="15"/>
      <c r="G10" s="1"/>
      <c r="H10" s="1"/>
      <c r="I10" s="1"/>
    </row>
    <row r="11" spans="2:26" ht="51.4" customHeight="1" x14ac:dyDescent="0.25">
      <c r="B11" s="48" t="s">
        <v>352</v>
      </c>
      <c r="C11" s="211">
        <f>SUM([2]Лист7!G2)</f>
        <v>21298484.079779997</v>
      </c>
      <c r="D11" s="211">
        <f>1460221.27</f>
        <v>1460221.27</v>
      </c>
      <c r="E11" s="211">
        <f t="shared" si="0"/>
        <v>22758705.349779997</v>
      </c>
      <c r="F11" s="15"/>
      <c r="G11" s="1"/>
      <c r="H11" s="1"/>
      <c r="I11" s="1"/>
    </row>
    <row r="12" spans="2:26" ht="30" x14ac:dyDescent="0.25">
      <c r="B12" s="219" t="s">
        <v>351</v>
      </c>
      <c r="C12" s="212">
        <f>3244140.87+103333.13</f>
        <v>3347474</v>
      </c>
      <c r="D12" s="212"/>
      <c r="E12" s="211">
        <f t="shared" si="0"/>
        <v>3347474</v>
      </c>
      <c r="F12" s="51"/>
      <c r="G12" s="1"/>
      <c r="H12" s="1"/>
      <c r="I12" s="1"/>
    </row>
    <row r="13" spans="2:26" x14ac:dyDescent="0.25">
      <c r="B13" s="212" t="s">
        <v>105</v>
      </c>
      <c r="C13" s="212"/>
      <c r="D13" s="211">
        <f>3120132.21+15364.39-118697.26</f>
        <v>3016799.3400000003</v>
      </c>
      <c r="E13" s="211">
        <f t="shared" si="0"/>
        <v>3016799.3400000003</v>
      </c>
      <c r="F13" s="15"/>
    </row>
    <row r="14" spans="2:26" x14ac:dyDescent="0.25">
      <c r="B14" s="212" t="s">
        <v>106</v>
      </c>
      <c r="C14" s="212">
        <f>979730.54+31206.6+0.2</f>
        <v>1010937.34</v>
      </c>
      <c r="D14" s="212">
        <f>948927.56-0.2+118697.26</f>
        <v>1067624.6200000001</v>
      </c>
      <c r="E14" s="211">
        <f t="shared" si="0"/>
        <v>2078561.96</v>
      </c>
      <c r="F14" s="15"/>
      <c r="G14" s="1"/>
      <c r="H14" s="1"/>
    </row>
    <row r="15" spans="2:26" x14ac:dyDescent="0.25">
      <c r="B15" s="212"/>
      <c r="C15" s="212"/>
      <c r="D15" s="212"/>
      <c r="E15" s="211">
        <f t="shared" si="0"/>
        <v>0</v>
      </c>
      <c r="F15" s="15"/>
    </row>
    <row r="16" spans="2:26" x14ac:dyDescent="0.25">
      <c r="B16" s="212"/>
      <c r="C16" s="80">
        <f>SUM(C10:C15)</f>
        <v>96627171.809780002</v>
      </c>
      <c r="D16" s="80">
        <f>SUM(D10:D15)</f>
        <v>10452702.5</v>
      </c>
      <c r="E16" s="80">
        <f t="shared" si="0"/>
        <v>107079874.30978</v>
      </c>
      <c r="F16" s="51"/>
      <c r="H16" s="1"/>
    </row>
    <row r="17" spans="2:11" ht="68.849999999999994" customHeight="1" x14ac:dyDescent="0.25">
      <c r="B17" s="324" t="s">
        <v>348</v>
      </c>
      <c r="C17" s="317"/>
      <c r="D17" s="317"/>
      <c r="E17" s="317"/>
      <c r="F17" s="317"/>
      <c r="G17" s="317"/>
      <c r="H17" s="317"/>
      <c r="I17" s="317"/>
      <c r="J17" s="317"/>
      <c r="K17" s="317"/>
    </row>
    <row r="19" spans="2:11" ht="15.75" thickBot="1" x14ac:dyDescent="0.3"/>
    <row r="20" spans="2:11" ht="15.75" thickBot="1" x14ac:dyDescent="0.3">
      <c r="B20" s="53" t="s">
        <v>107</v>
      </c>
      <c r="C20" s="53" t="s">
        <v>108</v>
      </c>
      <c r="D20" s="53" t="s">
        <v>109</v>
      </c>
      <c r="E20" s="53" t="s">
        <v>110</v>
      </c>
      <c r="F20" s="221" t="s">
        <v>111</v>
      </c>
      <c r="G20" s="54"/>
    </row>
    <row r="21" spans="2:11" ht="15" customHeight="1" x14ac:dyDescent="0.25">
      <c r="B21" s="335" t="s">
        <v>112</v>
      </c>
      <c r="C21" s="335"/>
      <c r="D21" s="56"/>
      <c r="E21" s="56"/>
      <c r="F21" s="220"/>
      <c r="G21" s="54"/>
    </row>
    <row r="22" spans="2:11" x14ac:dyDescent="0.25">
      <c r="B22" s="57" t="s">
        <v>113</v>
      </c>
      <c r="C22" s="57" t="s">
        <v>114</v>
      </c>
      <c r="D22" s="57">
        <v>35</v>
      </c>
      <c r="E22" s="58">
        <v>4766.67</v>
      </c>
      <c r="F22" s="59">
        <f t="shared" ref="F22:F31" si="1">D22*E22</f>
        <v>166833.45000000001</v>
      </c>
      <c r="G22" s="60"/>
    </row>
    <row r="23" spans="2:11" x14ac:dyDescent="0.25">
      <c r="B23" s="57" t="s">
        <v>115</v>
      </c>
      <c r="C23" s="57" t="s">
        <v>114</v>
      </c>
      <c r="D23" s="57">
        <v>156</v>
      </c>
      <c r="E23" s="58">
        <v>470</v>
      </c>
      <c r="F23" s="59">
        <f t="shared" si="1"/>
        <v>73320</v>
      </c>
      <c r="G23" s="60"/>
    </row>
    <row r="24" spans="2:11" x14ac:dyDescent="0.25">
      <c r="B24" s="57" t="s">
        <v>116</v>
      </c>
      <c r="C24" s="57" t="s">
        <v>114</v>
      </c>
      <c r="D24" s="57">
        <v>53</v>
      </c>
      <c r="E24" s="58">
        <v>3433.33</v>
      </c>
      <c r="F24" s="59">
        <f t="shared" si="1"/>
        <v>181966.49</v>
      </c>
      <c r="G24" s="60"/>
    </row>
    <row r="25" spans="2:11" x14ac:dyDescent="0.25">
      <c r="B25" s="57" t="s">
        <v>117</v>
      </c>
      <c r="C25" s="57" t="s">
        <v>114</v>
      </c>
      <c r="D25" s="57">
        <v>139</v>
      </c>
      <c r="E25" s="58">
        <v>1900</v>
      </c>
      <c r="F25" s="59">
        <f t="shared" si="1"/>
        <v>264100</v>
      </c>
      <c r="G25" s="60"/>
    </row>
    <row r="26" spans="2:11" x14ac:dyDescent="0.25">
      <c r="B26" s="57" t="s">
        <v>118</v>
      </c>
      <c r="C26" s="57" t="s">
        <v>114</v>
      </c>
      <c r="D26" s="57">
        <v>59</v>
      </c>
      <c r="E26" s="58">
        <v>656.67</v>
      </c>
      <c r="F26" s="59">
        <f t="shared" si="1"/>
        <v>38743.53</v>
      </c>
      <c r="G26" s="60"/>
    </row>
    <row r="27" spans="2:11" x14ac:dyDescent="0.25">
      <c r="B27" s="57" t="s">
        <v>119</v>
      </c>
      <c r="C27" s="57" t="s">
        <v>114</v>
      </c>
      <c r="D27" s="57">
        <v>189</v>
      </c>
      <c r="E27" s="58">
        <v>276.67</v>
      </c>
      <c r="F27" s="59">
        <f t="shared" si="1"/>
        <v>52290.630000000005</v>
      </c>
      <c r="G27" s="60"/>
    </row>
    <row r="28" spans="2:11" x14ac:dyDescent="0.25">
      <c r="B28" s="57" t="s">
        <v>120</v>
      </c>
      <c r="C28" s="57" t="s">
        <v>114</v>
      </c>
      <c r="D28" s="57">
        <v>51</v>
      </c>
      <c r="E28" s="58">
        <v>360</v>
      </c>
      <c r="F28" s="59">
        <f t="shared" si="1"/>
        <v>18360</v>
      </c>
      <c r="G28" s="60"/>
    </row>
    <row r="29" spans="2:11" x14ac:dyDescent="0.25">
      <c r="B29" s="57" t="s">
        <v>121</v>
      </c>
      <c r="C29" s="57" t="s">
        <v>114</v>
      </c>
      <c r="D29" s="57">
        <v>365</v>
      </c>
      <c r="E29" s="58">
        <v>293.33</v>
      </c>
      <c r="F29" s="59">
        <f t="shared" si="1"/>
        <v>107065.45</v>
      </c>
      <c r="G29" s="60"/>
    </row>
    <row r="30" spans="2:11" x14ac:dyDescent="0.25">
      <c r="B30" s="57" t="s">
        <v>122</v>
      </c>
      <c r="C30" s="57" t="s">
        <v>114</v>
      </c>
      <c r="D30" s="57">
        <v>179</v>
      </c>
      <c r="E30" s="58">
        <v>2066.67</v>
      </c>
      <c r="F30" s="59">
        <f t="shared" si="1"/>
        <v>369933.93</v>
      </c>
      <c r="G30" s="60"/>
    </row>
    <row r="31" spans="2:11" x14ac:dyDescent="0.25">
      <c r="B31" s="57" t="s">
        <v>123</v>
      </c>
      <c r="C31" s="57" t="s">
        <v>114</v>
      </c>
      <c r="D31" s="57">
        <v>180</v>
      </c>
      <c r="E31" s="58">
        <v>780</v>
      </c>
      <c r="F31" s="59">
        <f t="shared" si="1"/>
        <v>140400</v>
      </c>
      <c r="G31" s="60"/>
    </row>
    <row r="32" spans="2:11" x14ac:dyDescent="0.25">
      <c r="B32" s="61"/>
      <c r="C32" s="62"/>
      <c r="D32" s="57"/>
      <c r="E32" s="58"/>
      <c r="F32" s="63">
        <f>SUM(F22:F31)</f>
        <v>1413013.48</v>
      </c>
      <c r="G32" s="60"/>
    </row>
    <row r="33" spans="2:7" ht="15" customHeight="1" x14ac:dyDescent="0.25">
      <c r="B33" s="326" t="s">
        <v>124</v>
      </c>
      <c r="C33" s="326"/>
      <c r="D33" s="57"/>
      <c r="E33" s="58"/>
      <c r="F33" s="59"/>
      <c r="G33" s="60"/>
    </row>
    <row r="34" spans="2:7" ht="15.75" x14ac:dyDescent="0.25">
      <c r="B34" s="64" t="s">
        <v>125</v>
      </c>
      <c r="C34" s="65" t="s">
        <v>114</v>
      </c>
      <c r="D34" s="66">
        <v>1</v>
      </c>
      <c r="E34" s="67">
        <v>3295</v>
      </c>
      <c r="F34" s="59">
        <f>D34*E34</f>
        <v>3295</v>
      </c>
      <c r="G34" s="60"/>
    </row>
    <row r="35" spans="2:7" ht="15.75" x14ac:dyDescent="0.25">
      <c r="B35" s="68" t="s">
        <v>126</v>
      </c>
      <c r="C35" s="65" t="s">
        <v>114</v>
      </c>
      <c r="D35" s="66">
        <v>1</v>
      </c>
      <c r="E35" s="67">
        <v>350</v>
      </c>
      <c r="F35" s="59">
        <f>D35*E35</f>
        <v>350</v>
      </c>
      <c r="G35" s="60"/>
    </row>
    <row r="36" spans="2:7" x14ac:dyDescent="0.25">
      <c r="B36" s="57"/>
      <c r="C36" s="57"/>
      <c r="D36" s="57"/>
      <c r="E36" s="58"/>
      <c r="F36" s="63">
        <f>SUM(F34:F35)</f>
        <v>3645</v>
      </c>
      <c r="G36" s="60"/>
    </row>
    <row r="37" spans="2:7" x14ac:dyDescent="0.25">
      <c r="B37" s="337" t="s">
        <v>104</v>
      </c>
      <c r="C37" s="337"/>
      <c r="D37" s="57"/>
      <c r="E37" s="57"/>
      <c r="F37" s="63">
        <f>SUM(F32+F36)</f>
        <v>1416658.48</v>
      </c>
      <c r="G37" s="69"/>
    </row>
    <row r="38" spans="2:7" x14ac:dyDescent="0.25">
      <c r="B38" s="70"/>
      <c r="C38" s="71"/>
      <c r="D38" s="70"/>
      <c r="E38" s="71"/>
      <c r="F38" s="70"/>
      <c r="G38" s="72"/>
    </row>
    <row r="39" spans="2:7" ht="15" customHeight="1" x14ac:dyDescent="0.25">
      <c r="B39" s="326" t="s">
        <v>112</v>
      </c>
      <c r="C39" s="326"/>
      <c r="D39" s="71"/>
      <c r="F39" s="71"/>
      <c r="G39" s="72"/>
    </row>
    <row r="40" spans="2:7" ht="15.75" x14ac:dyDescent="0.25">
      <c r="B40" s="73"/>
      <c r="C40" s="74"/>
      <c r="D40" s="75"/>
      <c r="E40" s="76"/>
      <c r="F40" s="76"/>
      <c r="G40" s="77"/>
    </row>
    <row r="41" spans="2:7" ht="15.75" x14ac:dyDescent="0.25">
      <c r="B41" s="73" t="s">
        <v>130</v>
      </c>
      <c r="C41" s="74" t="s">
        <v>114</v>
      </c>
      <c r="D41" s="75">
        <v>60</v>
      </c>
      <c r="E41" s="76">
        <v>15.34</v>
      </c>
      <c r="F41" s="76">
        <f t="shared" ref="F41:F67" si="2">D41*E41</f>
        <v>920.4</v>
      </c>
      <c r="G41" s="77"/>
    </row>
    <row r="42" spans="2:7" ht="15.75" x14ac:dyDescent="0.25">
      <c r="B42" s="73" t="s">
        <v>131</v>
      </c>
      <c r="C42" s="74" t="s">
        <v>114</v>
      </c>
      <c r="D42" s="75">
        <v>1308</v>
      </c>
      <c r="E42" s="76">
        <v>6.59</v>
      </c>
      <c r="F42" s="76">
        <f t="shared" si="2"/>
        <v>8619.7199999999993</v>
      </c>
      <c r="G42" s="77"/>
    </row>
    <row r="43" spans="2:7" ht="15.75" x14ac:dyDescent="0.25">
      <c r="B43" s="73" t="s">
        <v>132</v>
      </c>
      <c r="C43" s="74" t="s">
        <v>114</v>
      </c>
      <c r="D43" s="75">
        <v>2010</v>
      </c>
      <c r="E43" s="76">
        <v>4.0999999999999996</v>
      </c>
      <c r="F43" s="76">
        <f t="shared" si="2"/>
        <v>8241</v>
      </c>
      <c r="G43" s="77"/>
    </row>
    <row r="44" spans="2:7" ht="15.75" x14ac:dyDescent="0.25">
      <c r="B44" s="73" t="s">
        <v>133</v>
      </c>
      <c r="C44" s="74" t="s">
        <v>114</v>
      </c>
      <c r="D44" s="75">
        <v>922</v>
      </c>
      <c r="E44" s="76">
        <v>7.43</v>
      </c>
      <c r="F44" s="76">
        <f t="shared" si="2"/>
        <v>6850.46</v>
      </c>
      <c r="G44" s="77"/>
    </row>
    <row r="45" spans="2:7" ht="15.75" x14ac:dyDescent="0.25">
      <c r="B45" s="73" t="s">
        <v>134</v>
      </c>
      <c r="C45" s="74" t="s">
        <v>114</v>
      </c>
      <c r="D45" s="75">
        <v>224</v>
      </c>
      <c r="E45" s="76">
        <v>54.29</v>
      </c>
      <c r="F45" s="76">
        <f t="shared" si="2"/>
        <v>12160.96</v>
      </c>
      <c r="G45" s="77"/>
    </row>
    <row r="46" spans="2:7" ht="15.75" x14ac:dyDescent="0.25">
      <c r="B46" s="73" t="s">
        <v>135</v>
      </c>
      <c r="C46" s="74" t="s">
        <v>114</v>
      </c>
      <c r="D46" s="75">
        <v>209</v>
      </c>
      <c r="E46" s="76">
        <v>8.08</v>
      </c>
      <c r="F46" s="76">
        <f t="shared" si="2"/>
        <v>1688.72</v>
      </c>
      <c r="G46" s="77"/>
    </row>
    <row r="47" spans="2:7" ht="15.75" x14ac:dyDescent="0.25">
      <c r="B47" s="73" t="s">
        <v>136</v>
      </c>
      <c r="C47" s="74" t="s">
        <v>114</v>
      </c>
      <c r="D47" s="75">
        <v>30</v>
      </c>
      <c r="E47" s="76">
        <v>17.98</v>
      </c>
      <c r="F47" s="76">
        <f t="shared" si="2"/>
        <v>539.4</v>
      </c>
      <c r="G47" s="77"/>
    </row>
    <row r="48" spans="2:7" ht="15.75" x14ac:dyDescent="0.25">
      <c r="B48" s="73" t="s">
        <v>137</v>
      </c>
      <c r="C48" s="74" t="s">
        <v>114</v>
      </c>
      <c r="D48" s="75">
        <v>145</v>
      </c>
      <c r="E48" s="76">
        <v>44.71</v>
      </c>
      <c r="F48" s="76">
        <f t="shared" si="2"/>
        <v>6482.95</v>
      </c>
      <c r="G48" s="77"/>
    </row>
    <row r="49" spans="2:8" ht="15.75" x14ac:dyDescent="0.25">
      <c r="B49" s="73" t="s">
        <v>138</v>
      </c>
      <c r="C49" s="74" t="s">
        <v>114</v>
      </c>
      <c r="D49" s="75">
        <v>5870</v>
      </c>
      <c r="E49" s="76">
        <v>12.98</v>
      </c>
      <c r="F49" s="76">
        <f t="shared" si="2"/>
        <v>76192.600000000006</v>
      </c>
      <c r="G49" s="77"/>
    </row>
    <row r="50" spans="2:8" ht="15.75" x14ac:dyDescent="0.25">
      <c r="B50" s="73" t="s">
        <v>139</v>
      </c>
      <c r="C50" s="74" t="s">
        <v>114</v>
      </c>
      <c r="D50" s="75">
        <v>1045</v>
      </c>
      <c r="E50" s="76">
        <v>4.97</v>
      </c>
      <c r="F50" s="76">
        <f t="shared" si="2"/>
        <v>5193.6499999999996</v>
      </c>
      <c r="G50" s="77"/>
    </row>
    <row r="51" spans="2:8" ht="15.75" x14ac:dyDescent="0.25">
      <c r="B51" s="73" t="s">
        <v>140</v>
      </c>
      <c r="C51" s="74" t="s">
        <v>114</v>
      </c>
      <c r="D51" s="75">
        <v>772</v>
      </c>
      <c r="E51" s="76">
        <v>73.25</v>
      </c>
      <c r="F51" s="76">
        <f t="shared" si="2"/>
        <v>56549</v>
      </c>
      <c r="G51" s="77"/>
    </row>
    <row r="52" spans="2:8" ht="15.75" x14ac:dyDescent="0.25">
      <c r="B52" s="73" t="s">
        <v>141</v>
      </c>
      <c r="C52" s="74" t="s">
        <v>114</v>
      </c>
      <c r="D52" s="75">
        <v>193</v>
      </c>
      <c r="E52" s="76">
        <v>35.450000000000003</v>
      </c>
      <c r="F52" s="76">
        <f t="shared" si="2"/>
        <v>6841.85</v>
      </c>
      <c r="G52" s="77"/>
      <c r="H52" s="78"/>
    </row>
    <row r="53" spans="2:8" ht="15.75" x14ac:dyDescent="0.25">
      <c r="B53" s="73" t="s">
        <v>142</v>
      </c>
      <c r="C53" s="74" t="s">
        <v>114</v>
      </c>
      <c r="D53" s="75">
        <v>772</v>
      </c>
      <c r="E53" s="76">
        <v>56</v>
      </c>
      <c r="F53" s="76">
        <f t="shared" si="2"/>
        <v>43232</v>
      </c>
      <c r="G53" s="77"/>
      <c r="H53" s="78"/>
    </row>
    <row r="54" spans="2:8" ht="15.75" x14ac:dyDescent="0.25">
      <c r="B54" s="73" t="s">
        <v>143</v>
      </c>
      <c r="C54" s="74" t="s">
        <v>114</v>
      </c>
      <c r="D54" s="75">
        <v>466</v>
      </c>
      <c r="E54" s="76">
        <v>32.619999999999997</v>
      </c>
      <c r="F54" s="76">
        <f t="shared" si="2"/>
        <v>15200.919999999998</v>
      </c>
      <c r="G54" s="77"/>
    </row>
    <row r="55" spans="2:8" ht="15.75" x14ac:dyDescent="0.25">
      <c r="B55" s="73" t="s">
        <v>144</v>
      </c>
      <c r="C55" s="74" t="s">
        <v>114</v>
      </c>
      <c r="D55" s="75">
        <v>209</v>
      </c>
      <c r="E55" s="76">
        <v>48.07</v>
      </c>
      <c r="F55" s="76">
        <f t="shared" si="2"/>
        <v>10046.629999999999</v>
      </c>
      <c r="G55" s="77"/>
    </row>
    <row r="56" spans="2:8" ht="15.75" x14ac:dyDescent="0.25">
      <c r="B56" s="73" t="s">
        <v>145</v>
      </c>
      <c r="C56" s="74" t="s">
        <v>114</v>
      </c>
      <c r="D56" s="75">
        <v>273</v>
      </c>
      <c r="E56" s="76">
        <v>9.42</v>
      </c>
      <c r="F56" s="76">
        <f t="shared" si="2"/>
        <v>2571.66</v>
      </c>
      <c r="G56" s="77"/>
    </row>
    <row r="57" spans="2:8" ht="15.75" x14ac:dyDescent="0.25">
      <c r="B57" s="73" t="s">
        <v>146</v>
      </c>
      <c r="C57" s="74" t="s">
        <v>114</v>
      </c>
      <c r="D57" s="75">
        <v>50</v>
      </c>
      <c r="E57" s="76">
        <v>248.69</v>
      </c>
      <c r="F57" s="76">
        <f t="shared" si="2"/>
        <v>12434.5</v>
      </c>
      <c r="G57" s="77"/>
    </row>
    <row r="58" spans="2:8" ht="15.75" x14ac:dyDescent="0.25">
      <c r="B58" s="73" t="s">
        <v>147</v>
      </c>
      <c r="C58" s="74" t="s">
        <v>114</v>
      </c>
      <c r="D58" s="75">
        <v>16</v>
      </c>
      <c r="E58" s="76">
        <v>122.5</v>
      </c>
      <c r="F58" s="76">
        <f t="shared" si="2"/>
        <v>1960</v>
      </c>
      <c r="G58" s="77"/>
    </row>
    <row r="59" spans="2:8" ht="15.75" x14ac:dyDescent="0.25">
      <c r="B59" s="73" t="s">
        <v>148</v>
      </c>
      <c r="C59" s="74" t="s">
        <v>114</v>
      </c>
      <c r="D59" s="75">
        <v>13</v>
      </c>
      <c r="E59" s="76">
        <v>24.86</v>
      </c>
      <c r="F59" s="76">
        <f t="shared" si="2"/>
        <v>323.18</v>
      </c>
      <c r="G59" s="77"/>
    </row>
    <row r="60" spans="2:8" ht="15.75" x14ac:dyDescent="0.25">
      <c r="B60" s="73" t="s">
        <v>149</v>
      </c>
      <c r="C60" s="74" t="s">
        <v>150</v>
      </c>
      <c r="D60" s="75">
        <v>17</v>
      </c>
      <c r="E60" s="76">
        <v>64.69</v>
      </c>
      <c r="F60" s="76">
        <f t="shared" si="2"/>
        <v>1099.73</v>
      </c>
      <c r="G60" s="77"/>
    </row>
    <row r="61" spans="2:8" ht="15.75" x14ac:dyDescent="0.25">
      <c r="B61" s="73" t="s">
        <v>149</v>
      </c>
      <c r="C61" s="74" t="s">
        <v>150</v>
      </c>
      <c r="D61" s="75">
        <v>17</v>
      </c>
      <c r="E61" s="76">
        <v>80.599999999999994</v>
      </c>
      <c r="F61" s="76">
        <f t="shared" si="2"/>
        <v>1370.1999999999998</v>
      </c>
      <c r="G61" s="77"/>
    </row>
    <row r="62" spans="2:8" ht="15.75" x14ac:dyDescent="0.25">
      <c r="B62" s="73" t="s">
        <v>149</v>
      </c>
      <c r="C62" s="74" t="s">
        <v>150</v>
      </c>
      <c r="D62" s="75">
        <v>29</v>
      </c>
      <c r="E62" s="76">
        <v>162.02000000000001</v>
      </c>
      <c r="F62" s="76">
        <f t="shared" si="2"/>
        <v>4698.58</v>
      </c>
      <c r="G62" s="77"/>
    </row>
    <row r="63" spans="2:8" ht="15.75" x14ac:dyDescent="0.25">
      <c r="B63" s="73" t="s">
        <v>151</v>
      </c>
      <c r="C63" s="74" t="s">
        <v>114</v>
      </c>
      <c r="D63" s="75">
        <v>15</v>
      </c>
      <c r="E63" s="76">
        <v>101.81</v>
      </c>
      <c r="F63" s="76">
        <f t="shared" si="2"/>
        <v>1527.15</v>
      </c>
      <c r="G63" s="77"/>
      <c r="H63" s="78"/>
    </row>
    <row r="64" spans="2:8" ht="15.75" x14ac:dyDescent="0.25">
      <c r="B64" s="73" t="s">
        <v>152</v>
      </c>
      <c r="C64" s="74" t="s">
        <v>150</v>
      </c>
      <c r="D64" s="75">
        <v>15</v>
      </c>
      <c r="E64" s="76">
        <v>74.02</v>
      </c>
      <c r="F64" s="76">
        <f t="shared" si="2"/>
        <v>1110.3</v>
      </c>
      <c r="G64" s="77"/>
      <c r="H64" s="78"/>
    </row>
    <row r="65" spans="2:8" ht="15.75" x14ac:dyDescent="0.25">
      <c r="B65" s="73" t="s">
        <v>153</v>
      </c>
      <c r="C65" s="74" t="s">
        <v>150</v>
      </c>
      <c r="D65" s="75">
        <v>75</v>
      </c>
      <c r="E65" s="76">
        <v>21.35</v>
      </c>
      <c r="F65" s="76">
        <f t="shared" si="2"/>
        <v>1601.25</v>
      </c>
      <c r="G65" s="77"/>
      <c r="H65" s="78"/>
    </row>
    <row r="66" spans="2:8" ht="15.75" x14ac:dyDescent="0.25">
      <c r="B66" s="73" t="s">
        <v>154</v>
      </c>
      <c r="C66" s="74" t="s">
        <v>150</v>
      </c>
      <c r="D66" s="75">
        <v>3</v>
      </c>
      <c r="E66" s="76">
        <v>188.91</v>
      </c>
      <c r="F66" s="76">
        <f t="shared" si="2"/>
        <v>566.73</v>
      </c>
      <c r="G66" s="77"/>
      <c r="H66" s="78"/>
    </row>
    <row r="67" spans="2:8" ht="15.75" x14ac:dyDescent="0.25">
      <c r="B67" s="73" t="s">
        <v>155</v>
      </c>
      <c r="C67" s="74" t="s">
        <v>114</v>
      </c>
      <c r="D67" s="75">
        <v>147</v>
      </c>
      <c r="E67" s="76">
        <v>322.49</v>
      </c>
      <c r="F67" s="76">
        <f t="shared" si="2"/>
        <v>47406.03</v>
      </c>
      <c r="G67" s="77"/>
      <c r="H67" s="78"/>
    </row>
    <row r="68" spans="2:8" x14ac:dyDescent="0.25">
      <c r="B68" s="46" t="s">
        <v>156</v>
      </c>
      <c r="C68" s="79"/>
      <c r="D68" s="79"/>
      <c r="E68" s="79"/>
      <c r="F68" s="80">
        <f>SUM(F40:F67)</f>
        <v>335429.57000000007</v>
      </c>
      <c r="G68" s="81"/>
    </row>
    <row r="69" spans="2:8" ht="15.95" customHeight="1" x14ac:dyDescent="0.25">
      <c r="B69" s="326" t="s">
        <v>124</v>
      </c>
      <c r="C69" s="326"/>
      <c r="D69" s="82"/>
      <c r="E69" s="83"/>
      <c r="F69" s="84"/>
      <c r="G69" s="85"/>
    </row>
    <row r="70" spans="2:8" ht="15.75" x14ac:dyDescent="0.25">
      <c r="B70" s="64" t="s">
        <v>157</v>
      </c>
      <c r="C70" s="82" t="s">
        <v>114</v>
      </c>
      <c r="D70" s="66">
        <v>2100</v>
      </c>
      <c r="E70" s="67">
        <v>55</v>
      </c>
      <c r="F70" s="86">
        <f>D70* E70</f>
        <v>115500</v>
      </c>
      <c r="G70" s="85"/>
    </row>
    <row r="71" spans="2:8" ht="15.75" x14ac:dyDescent="0.25">
      <c r="B71" s="68"/>
      <c r="C71" s="87"/>
      <c r="D71" s="66"/>
      <c r="E71" s="67"/>
      <c r="F71" s="88"/>
      <c r="G71" s="85"/>
    </row>
    <row r="72" spans="2:8" x14ac:dyDescent="0.25">
      <c r="B72" s="331" t="s">
        <v>158</v>
      </c>
      <c r="C72" s="331"/>
      <c r="D72" s="50"/>
      <c r="E72" s="50"/>
      <c r="F72" s="52">
        <f>SUM(F70)</f>
        <v>115500</v>
      </c>
      <c r="G72" s="89"/>
    </row>
    <row r="73" spans="2:8" x14ac:dyDescent="0.25">
      <c r="B73" s="46" t="s">
        <v>156</v>
      </c>
      <c r="C73" s="79"/>
      <c r="D73" s="79"/>
      <c r="E73" s="79"/>
      <c r="F73" s="80">
        <f>SUM(F68+F72)</f>
        <v>450929.57000000007</v>
      </c>
    </row>
    <row r="75" spans="2:8" ht="15.75" x14ac:dyDescent="0.25">
      <c r="B75" s="90" t="s">
        <v>343</v>
      </c>
      <c r="C75" s="91"/>
      <c r="D75" s="57"/>
      <c r="E75" s="57"/>
      <c r="F75" s="57"/>
      <c r="G75" s="69"/>
    </row>
    <row r="76" spans="2:8" ht="15.75" x14ac:dyDescent="0.25">
      <c r="B76" s="64" t="s">
        <v>159</v>
      </c>
      <c r="C76" s="82" t="s">
        <v>160</v>
      </c>
      <c r="D76" s="92">
        <v>5455</v>
      </c>
      <c r="E76" s="93">
        <v>51.2</v>
      </c>
      <c r="F76" s="86">
        <f>D76*E76</f>
        <v>279296</v>
      </c>
      <c r="G76" s="94"/>
      <c r="H76" s="95"/>
    </row>
    <row r="77" spans="2:8" ht="15.75" x14ac:dyDescent="0.25">
      <c r="B77" s="64" t="s">
        <v>159</v>
      </c>
      <c r="C77" s="82" t="s">
        <v>160</v>
      </c>
      <c r="D77" s="92"/>
      <c r="E77" s="93"/>
      <c r="F77" s="86">
        <f>D77*E77</f>
        <v>0</v>
      </c>
      <c r="G77" s="94"/>
      <c r="H77" s="95"/>
    </row>
    <row r="78" spans="2:8" ht="15.75" x14ac:dyDescent="0.25">
      <c r="B78" s="64" t="s">
        <v>159</v>
      </c>
      <c r="C78" s="82" t="s">
        <v>160</v>
      </c>
      <c r="D78" s="92"/>
      <c r="E78" s="93"/>
      <c r="F78" s="86"/>
      <c r="G78" s="94"/>
      <c r="H78" s="95"/>
    </row>
    <row r="79" spans="2:8" ht="15.75" x14ac:dyDescent="0.25">
      <c r="B79" s="64" t="s">
        <v>159</v>
      </c>
      <c r="C79" s="82" t="s">
        <v>160</v>
      </c>
      <c r="D79" s="92"/>
      <c r="E79" s="93"/>
      <c r="F79" s="86"/>
      <c r="G79" s="94"/>
      <c r="H79" s="95"/>
    </row>
    <row r="80" spans="2:8" ht="15.75" x14ac:dyDescent="0.25">
      <c r="B80" s="64" t="s">
        <v>159</v>
      </c>
      <c r="C80" s="82" t="s">
        <v>160</v>
      </c>
      <c r="D80" s="92"/>
      <c r="E80" s="93"/>
      <c r="F80" s="86">
        <f>D80*E80</f>
        <v>0</v>
      </c>
      <c r="G80" s="94"/>
      <c r="H80" s="95"/>
    </row>
    <row r="81" spans="2:14" ht="15.75" x14ac:dyDescent="0.25">
      <c r="B81" s="96" t="s">
        <v>161</v>
      </c>
      <c r="C81" s="82" t="s">
        <v>114</v>
      </c>
      <c r="D81" s="97">
        <v>1</v>
      </c>
      <c r="E81" s="98">
        <v>5950</v>
      </c>
      <c r="F81" s="86">
        <f>D81*E81</f>
        <v>5950</v>
      </c>
      <c r="G81" s="99"/>
      <c r="H81" s="100"/>
      <c r="L81">
        <v>51.2</v>
      </c>
      <c r="M81">
        <f>SUM(K81*L81)</f>
        <v>0</v>
      </c>
    </row>
    <row r="82" spans="2:14" ht="15.75" x14ac:dyDescent="0.25">
      <c r="B82" s="336" t="s">
        <v>104</v>
      </c>
      <c r="C82" s="336"/>
      <c r="D82" s="101"/>
      <c r="E82" s="101"/>
      <c r="F82" s="102">
        <f>SUM(F76:F81)</f>
        <v>285246</v>
      </c>
      <c r="G82" s="69"/>
      <c r="M82">
        <f>SUM(I81)</f>
        <v>0</v>
      </c>
    </row>
    <row r="83" spans="2:14" ht="15.95" customHeight="1" x14ac:dyDescent="0.25">
      <c r="B83" s="326" t="s">
        <v>124</v>
      </c>
      <c r="C83" s="326"/>
      <c r="D83" s="103"/>
      <c r="E83" s="103"/>
      <c r="F83" s="104"/>
      <c r="G83" s="105"/>
      <c r="M83">
        <f>SUM(M81:M82)</f>
        <v>0</v>
      </c>
    </row>
    <row r="84" spans="2:14" ht="31.5" x14ac:dyDescent="0.25">
      <c r="B84" s="65" t="s">
        <v>162</v>
      </c>
      <c r="C84" s="82" t="s">
        <v>163</v>
      </c>
      <c r="D84" s="66">
        <v>1</v>
      </c>
      <c r="E84" s="88">
        <v>17420</v>
      </c>
      <c r="F84" s="86">
        <f t="shared" ref="F84:F91" si="3">D84*E84</f>
        <v>17420</v>
      </c>
      <c r="G84" s="106"/>
      <c r="H84" s="107"/>
    </row>
    <row r="85" spans="2:14" ht="31.5" x14ac:dyDescent="0.25">
      <c r="B85" s="65" t="s">
        <v>162</v>
      </c>
      <c r="C85" s="82" t="s">
        <v>163</v>
      </c>
      <c r="D85" s="66">
        <v>1</v>
      </c>
      <c r="E85" s="88">
        <v>17840</v>
      </c>
      <c r="F85" s="86">
        <f t="shared" si="3"/>
        <v>17840</v>
      </c>
      <c r="G85" s="106"/>
      <c r="H85" s="107"/>
    </row>
    <row r="86" spans="2:14" ht="31.5" x14ac:dyDescent="0.25">
      <c r="B86" s="65" t="s">
        <v>162</v>
      </c>
      <c r="C86" s="82" t="s">
        <v>163</v>
      </c>
      <c r="D86" s="66">
        <v>1</v>
      </c>
      <c r="E86" s="88">
        <v>8200</v>
      </c>
      <c r="F86" s="86">
        <f t="shared" si="3"/>
        <v>8200</v>
      </c>
      <c r="G86" s="106"/>
      <c r="H86" s="107"/>
    </row>
    <row r="87" spans="2:14" ht="15.75" x14ac:dyDescent="0.25">
      <c r="B87" s="65" t="s">
        <v>164</v>
      </c>
      <c r="C87" s="82" t="s">
        <v>163</v>
      </c>
      <c r="D87" s="66">
        <v>1</v>
      </c>
      <c r="E87" s="88">
        <v>1304</v>
      </c>
      <c r="F87" s="86">
        <f t="shared" si="3"/>
        <v>1304</v>
      </c>
      <c r="G87" s="106"/>
      <c r="H87" s="107"/>
    </row>
    <row r="88" spans="2:14" ht="15.75" x14ac:dyDescent="0.25">
      <c r="B88" s="108" t="s">
        <v>165</v>
      </c>
      <c r="C88" s="82" t="s">
        <v>163</v>
      </c>
      <c r="D88" s="66">
        <v>1</v>
      </c>
      <c r="E88" s="88">
        <v>5500</v>
      </c>
      <c r="F88" s="86">
        <f t="shared" si="3"/>
        <v>5500</v>
      </c>
      <c r="G88" s="106"/>
      <c r="H88" s="107"/>
    </row>
    <row r="89" spans="2:14" ht="15.75" x14ac:dyDescent="0.25">
      <c r="B89" s="108" t="s">
        <v>166</v>
      </c>
      <c r="C89" s="82" t="s">
        <v>163</v>
      </c>
      <c r="D89" s="66">
        <v>1</v>
      </c>
      <c r="E89" s="88">
        <v>5790</v>
      </c>
      <c r="F89" s="86">
        <f t="shared" si="3"/>
        <v>5790</v>
      </c>
      <c r="G89" s="106"/>
      <c r="H89" s="107"/>
    </row>
    <row r="90" spans="2:14" ht="15.75" x14ac:dyDescent="0.25">
      <c r="B90" s="109" t="s">
        <v>167</v>
      </c>
      <c r="C90" s="103" t="s">
        <v>163</v>
      </c>
      <c r="D90" s="110">
        <v>1</v>
      </c>
      <c r="E90" s="111">
        <v>5680.92</v>
      </c>
      <c r="F90" s="86">
        <f t="shared" si="3"/>
        <v>5680.92</v>
      </c>
      <c r="G90" s="112"/>
      <c r="H90" s="113"/>
    </row>
    <row r="91" spans="2:14" ht="31.5" x14ac:dyDescent="0.25">
      <c r="B91" s="64" t="s">
        <v>168</v>
      </c>
      <c r="C91" s="108" t="s">
        <v>169</v>
      </c>
      <c r="D91" s="92">
        <v>301</v>
      </c>
      <c r="E91" s="86">
        <v>100</v>
      </c>
      <c r="F91" s="86">
        <f t="shared" si="3"/>
        <v>30100</v>
      </c>
      <c r="G91" s="94"/>
      <c r="H91" s="114"/>
      <c r="M91">
        <v>13479.97</v>
      </c>
      <c r="N91" s="1">
        <f>SUM(F91-M91)</f>
        <v>16620.03</v>
      </c>
    </row>
    <row r="92" spans="2:14" ht="15.75" x14ac:dyDescent="0.25">
      <c r="B92" s="336" t="s">
        <v>104</v>
      </c>
      <c r="C92" s="336"/>
      <c r="D92" s="101"/>
      <c r="E92" s="101"/>
      <c r="F92" s="102">
        <f>SUM(F84:F91)</f>
        <v>91834.92</v>
      </c>
      <c r="G92" s="15"/>
    </row>
    <row r="93" spans="2:14" ht="15.75" x14ac:dyDescent="0.25">
      <c r="B93" s="336" t="s">
        <v>104</v>
      </c>
      <c r="C93" s="336"/>
      <c r="D93" s="101"/>
      <c r="E93" s="101"/>
      <c r="F93" s="102">
        <f>SUM(F82+F92)</f>
        <v>377080.92</v>
      </c>
    </row>
    <row r="94" spans="2:14" ht="15.95" customHeight="1" x14ac:dyDescent="0.25">
      <c r="B94" s="333" t="s">
        <v>171</v>
      </c>
      <c r="C94" s="333"/>
      <c r="D94" s="115"/>
      <c r="E94" s="116"/>
      <c r="F94" s="116"/>
      <c r="G94" s="118"/>
    </row>
    <row r="95" spans="2:14" ht="31.5" x14ac:dyDescent="0.25">
      <c r="B95" s="119" t="s">
        <v>172</v>
      </c>
      <c r="C95" s="120" t="s">
        <v>163</v>
      </c>
      <c r="D95" s="121">
        <v>12</v>
      </c>
      <c r="E95" s="122">
        <v>8614</v>
      </c>
      <c r="F95" s="122">
        <f>D95*E95</f>
        <v>103368</v>
      </c>
      <c r="G95" s="123"/>
      <c r="H95" s="124"/>
    </row>
    <row r="96" spans="2:14" ht="15.75" x14ac:dyDescent="0.25">
      <c r="B96" s="119" t="s">
        <v>173</v>
      </c>
      <c r="C96" s="120" t="s">
        <v>163</v>
      </c>
      <c r="D96" s="121">
        <v>12</v>
      </c>
      <c r="E96" s="122">
        <v>5000</v>
      </c>
      <c r="F96" s="122">
        <f>D96*E96</f>
        <v>60000</v>
      </c>
      <c r="G96" s="123"/>
      <c r="H96" s="124"/>
    </row>
    <row r="97" spans="2:8" ht="15.75" x14ac:dyDescent="0.25">
      <c r="B97" s="119" t="s">
        <v>174</v>
      </c>
      <c r="C97" s="120" t="s">
        <v>163</v>
      </c>
      <c r="D97" s="121">
        <v>2</v>
      </c>
      <c r="E97" s="122">
        <v>1083</v>
      </c>
      <c r="F97" s="122">
        <f>D97*E97</f>
        <v>2166</v>
      </c>
      <c r="G97" s="123"/>
      <c r="H97" s="124"/>
    </row>
    <row r="98" spans="2:8" ht="31.5" x14ac:dyDescent="0.25">
      <c r="B98" s="119" t="s">
        <v>175</v>
      </c>
      <c r="C98" s="120" t="s">
        <v>163</v>
      </c>
      <c r="D98" s="121">
        <v>1</v>
      </c>
      <c r="E98" s="122">
        <v>2898</v>
      </c>
      <c r="F98" s="122">
        <f>D98*E98</f>
        <v>2898</v>
      </c>
      <c r="G98" s="123"/>
      <c r="H98" s="124"/>
    </row>
    <row r="99" spans="2:8" ht="47.25" x14ac:dyDescent="0.25">
      <c r="B99" s="125" t="s">
        <v>176</v>
      </c>
      <c r="C99" s="103" t="s">
        <v>163</v>
      </c>
      <c r="D99" s="126">
        <v>1</v>
      </c>
      <c r="E99" s="126">
        <v>4058</v>
      </c>
      <c r="F99" s="126">
        <f>D99*E99</f>
        <v>4058</v>
      </c>
      <c r="G99" s="127"/>
      <c r="H99" s="128"/>
    </row>
    <row r="100" spans="2:8" ht="15.95" customHeight="1" x14ac:dyDescent="0.25">
      <c r="B100" s="327" t="s">
        <v>158</v>
      </c>
      <c r="C100" s="327"/>
      <c r="D100" s="115"/>
      <c r="E100" s="129"/>
      <c r="F100" s="130">
        <f>SUM(F95:F99)</f>
        <v>172490</v>
      </c>
      <c r="G100" s="131"/>
    </row>
    <row r="101" spans="2:8" ht="15.95" customHeight="1" x14ac:dyDescent="0.25">
      <c r="B101" s="334" t="s">
        <v>103</v>
      </c>
      <c r="C101" s="334"/>
      <c r="D101" s="115"/>
      <c r="E101" s="129"/>
      <c r="F101" s="130"/>
      <c r="G101" s="131"/>
    </row>
    <row r="102" spans="2:8" ht="31.5" x14ac:dyDescent="0.25">
      <c r="B102" s="65" t="s">
        <v>177</v>
      </c>
      <c r="C102" s="82" t="s">
        <v>163</v>
      </c>
      <c r="D102" s="66">
        <v>1</v>
      </c>
      <c r="E102" s="132">
        <v>631254</v>
      </c>
      <c r="F102" s="132">
        <f>D102*E102</f>
        <v>631254</v>
      </c>
      <c r="G102" s="106"/>
      <c r="H102" s="133"/>
    </row>
    <row r="103" spans="2:8" ht="15.75" x14ac:dyDescent="0.25">
      <c r="B103" s="65" t="s">
        <v>178</v>
      </c>
      <c r="C103" s="82" t="s">
        <v>163</v>
      </c>
      <c r="D103" s="92">
        <v>1</v>
      </c>
      <c r="E103" s="86">
        <v>9600</v>
      </c>
      <c r="F103" s="86">
        <v>9600</v>
      </c>
      <c r="G103" s="94"/>
      <c r="H103" s="114"/>
    </row>
    <row r="104" spans="2:8" ht="31.5" x14ac:dyDescent="0.25">
      <c r="B104" s="65" t="s">
        <v>179</v>
      </c>
      <c r="C104" s="82" t="s">
        <v>180</v>
      </c>
      <c r="D104" s="92">
        <v>12</v>
      </c>
      <c r="E104" s="86">
        <v>1320</v>
      </c>
      <c r="F104" s="86">
        <v>15840</v>
      </c>
      <c r="G104" s="94"/>
      <c r="H104" s="114"/>
    </row>
    <row r="105" spans="2:8" ht="15.95" customHeight="1" x14ac:dyDescent="0.25">
      <c r="B105" s="327" t="s">
        <v>158</v>
      </c>
      <c r="C105" s="327"/>
      <c r="D105" s="115"/>
      <c r="E105" s="129"/>
      <c r="F105" s="130">
        <f>SUM(F102:F104)</f>
        <v>656694</v>
      </c>
      <c r="G105" s="131"/>
    </row>
    <row r="106" spans="2:8" ht="15.95" customHeight="1" x14ac:dyDescent="0.25">
      <c r="B106" s="327" t="s">
        <v>99</v>
      </c>
      <c r="C106" s="327"/>
      <c r="D106" s="115"/>
      <c r="E106" s="115"/>
      <c r="F106" s="202">
        <f>SUM(F100+F105)</f>
        <v>829184</v>
      </c>
      <c r="G106" s="131"/>
    </row>
    <row r="108" spans="2:8" ht="15.95" customHeight="1" x14ac:dyDescent="0.25">
      <c r="B108" s="326" t="s">
        <v>112</v>
      </c>
      <c r="C108" s="326"/>
      <c r="D108" s="55"/>
      <c r="E108" s="136"/>
      <c r="F108" s="226"/>
      <c r="G108" s="137"/>
    </row>
    <row r="109" spans="2:8" ht="15.75" x14ac:dyDescent="0.25">
      <c r="B109" s="64" t="s">
        <v>181</v>
      </c>
      <c r="C109" s="82" t="s">
        <v>180</v>
      </c>
      <c r="D109" s="83">
        <v>12</v>
      </c>
      <c r="E109" s="138">
        <v>556.69000000000005</v>
      </c>
      <c r="F109" s="224">
        <f>D109*E109</f>
        <v>6680.2800000000007</v>
      </c>
      <c r="G109" s="139"/>
      <c r="H109" s="140"/>
    </row>
    <row r="110" spans="2:8" ht="15.75" x14ac:dyDescent="0.25">
      <c r="B110" s="141" t="s">
        <v>182</v>
      </c>
      <c r="C110" s="82" t="s">
        <v>163</v>
      </c>
      <c r="D110" s="83">
        <v>1</v>
      </c>
      <c r="E110" s="138">
        <v>6319.71</v>
      </c>
      <c r="F110" s="224">
        <f>D110*E110+0.01</f>
        <v>6319.72</v>
      </c>
      <c r="G110" s="139"/>
      <c r="H110" s="140"/>
    </row>
    <row r="111" spans="2:8" ht="15.95" customHeight="1" x14ac:dyDescent="0.25">
      <c r="B111" s="328" t="s">
        <v>158</v>
      </c>
      <c r="C111" s="328"/>
      <c r="D111" s="55"/>
      <c r="E111" s="143"/>
      <c r="F111" s="225">
        <f>SUM(F109:F110)</f>
        <v>13000</v>
      </c>
      <c r="G111" s="144"/>
    </row>
    <row r="112" spans="2:8" x14ac:dyDescent="0.25">
      <c r="G112" s="15"/>
    </row>
    <row r="113" spans="2:8" ht="15.95" customHeight="1" x14ac:dyDescent="0.25">
      <c r="B113" s="326" t="s">
        <v>124</v>
      </c>
      <c r="C113" s="326"/>
      <c r="D113" s="55"/>
      <c r="E113" s="136"/>
      <c r="F113" s="145"/>
      <c r="G113" s="15"/>
    </row>
    <row r="114" spans="2:8" ht="15.75" x14ac:dyDescent="0.25">
      <c r="B114" s="64" t="s">
        <v>183</v>
      </c>
      <c r="C114" s="82" t="s">
        <v>163</v>
      </c>
      <c r="D114" s="83">
        <v>1</v>
      </c>
      <c r="E114" s="88">
        <v>40117.919999999998</v>
      </c>
      <c r="F114" s="224">
        <f>E114</f>
        <v>40117.919999999998</v>
      </c>
      <c r="G114" s="139"/>
      <c r="H114" s="107"/>
    </row>
    <row r="115" spans="2:8" ht="15.75" x14ac:dyDescent="0.25">
      <c r="B115" s="65" t="s">
        <v>184</v>
      </c>
      <c r="C115" s="82" t="s">
        <v>185</v>
      </c>
      <c r="D115" s="83">
        <v>1</v>
      </c>
      <c r="E115" s="88">
        <v>261842</v>
      </c>
      <c r="F115" s="224">
        <f>E115</f>
        <v>261842</v>
      </c>
      <c r="G115" s="15"/>
    </row>
    <row r="116" spans="2:8" ht="15.75" x14ac:dyDescent="0.25">
      <c r="B116" s="65" t="s">
        <v>186</v>
      </c>
      <c r="C116" s="82" t="s">
        <v>163</v>
      </c>
      <c r="D116" s="66">
        <v>1</v>
      </c>
      <c r="E116" s="132">
        <v>9253.44</v>
      </c>
      <c r="F116" s="224">
        <f>E116</f>
        <v>9253.44</v>
      </c>
      <c r="G116" s="106"/>
      <c r="H116" s="133"/>
    </row>
    <row r="117" spans="2:8" ht="15.95" customHeight="1" x14ac:dyDescent="0.25">
      <c r="B117" s="328" t="s">
        <v>158</v>
      </c>
      <c r="C117" s="328"/>
      <c r="D117" s="55"/>
      <c r="E117" s="143"/>
      <c r="F117" s="225">
        <f>SUM(F114:F116)</f>
        <v>311213.36</v>
      </c>
      <c r="G117" s="15"/>
    </row>
    <row r="118" spans="2:8" x14ac:dyDescent="0.25">
      <c r="G118" s="15"/>
    </row>
    <row r="119" spans="2:8" ht="15.95" customHeight="1" x14ac:dyDescent="0.25">
      <c r="B119" s="333" t="s">
        <v>171</v>
      </c>
      <c r="C119" s="333"/>
      <c r="D119" s="117"/>
      <c r="E119" s="146"/>
      <c r="F119" s="147"/>
      <c r="G119" s="15"/>
    </row>
    <row r="120" spans="2:8" ht="15.75" x14ac:dyDescent="0.25">
      <c r="B120" s="148" t="s">
        <v>187</v>
      </c>
      <c r="C120" s="149" t="s">
        <v>188</v>
      </c>
      <c r="D120" s="150">
        <v>6.4</v>
      </c>
      <c r="E120" s="151">
        <v>9034.7749999999996</v>
      </c>
      <c r="F120" s="152">
        <f>D120*E120</f>
        <v>57822.559999999998</v>
      </c>
      <c r="G120" s="153"/>
      <c r="H120" s="154"/>
    </row>
    <row r="121" spans="2:8" ht="15.75" x14ac:dyDescent="0.25">
      <c r="B121" s="155" t="s">
        <v>189</v>
      </c>
      <c r="C121" s="149" t="s">
        <v>190</v>
      </c>
      <c r="D121" s="150">
        <v>121</v>
      </c>
      <c r="E121" s="151">
        <v>64</v>
      </c>
      <c r="F121" s="152">
        <f>E121*D121</f>
        <v>7744</v>
      </c>
      <c r="G121" s="153"/>
      <c r="H121" s="154"/>
    </row>
    <row r="122" spans="2:8" ht="15.75" x14ac:dyDescent="0.25">
      <c r="B122" s="155" t="s">
        <v>191</v>
      </c>
      <c r="C122" s="149" t="s">
        <v>190</v>
      </c>
      <c r="D122" s="150">
        <v>144</v>
      </c>
      <c r="E122" s="151">
        <v>621</v>
      </c>
      <c r="F122" s="152">
        <f>D122*E122</f>
        <v>89424</v>
      </c>
      <c r="G122" s="153"/>
      <c r="H122" s="154"/>
    </row>
    <row r="123" spans="2:8" ht="15.75" x14ac:dyDescent="0.25">
      <c r="B123" s="155" t="s">
        <v>192</v>
      </c>
      <c r="C123" s="149" t="s">
        <v>193</v>
      </c>
      <c r="D123" s="150">
        <v>13.7</v>
      </c>
      <c r="E123" s="151">
        <v>8248.1749999999993</v>
      </c>
      <c r="F123" s="152">
        <f>D123*E123</f>
        <v>112999.99749999998</v>
      </c>
      <c r="G123" s="153"/>
      <c r="H123" s="154"/>
    </row>
    <row r="124" spans="2:8" ht="15.75" x14ac:dyDescent="0.25">
      <c r="B124" s="155" t="s">
        <v>194</v>
      </c>
      <c r="C124" s="149" t="s">
        <v>163</v>
      </c>
      <c r="D124" s="150">
        <v>12</v>
      </c>
      <c r="E124" s="151">
        <v>2059.37</v>
      </c>
      <c r="F124" s="152">
        <f>D124*E124</f>
        <v>24712.44</v>
      </c>
      <c r="G124" s="153"/>
      <c r="H124" s="154"/>
    </row>
    <row r="125" spans="2:8" ht="15.95" customHeight="1" x14ac:dyDescent="0.25">
      <c r="B125" s="332" t="s">
        <v>104</v>
      </c>
      <c r="C125" s="332"/>
      <c r="D125" s="156"/>
      <c r="E125" s="157"/>
      <c r="F125" s="243">
        <f>SUM(F120:F124)</f>
        <v>292702.9975</v>
      </c>
      <c r="G125" s="15"/>
    </row>
    <row r="126" spans="2:8" ht="15" customHeight="1" x14ac:dyDescent="0.25">
      <c r="B126" s="326" t="s">
        <v>124</v>
      </c>
      <c r="C126" s="326"/>
      <c r="G126" s="15"/>
    </row>
    <row r="127" spans="2:8" ht="15.75" x14ac:dyDescent="0.25">
      <c r="B127" s="109" t="s">
        <v>195</v>
      </c>
      <c r="C127" s="103" t="s">
        <v>196</v>
      </c>
      <c r="D127" s="158"/>
      <c r="E127" s="111"/>
      <c r="F127" s="159"/>
      <c r="G127" s="15"/>
    </row>
    <row r="128" spans="2:8" ht="30" x14ac:dyDescent="0.25">
      <c r="B128" s="48" t="s">
        <v>197</v>
      </c>
      <c r="C128" s="82"/>
      <c r="D128" s="79">
        <v>1</v>
      </c>
      <c r="E128" s="76">
        <v>9127</v>
      </c>
      <c r="F128" s="160">
        <f>D128*E128</f>
        <v>9127</v>
      </c>
      <c r="G128" s="161"/>
      <c r="H128" s="78"/>
    </row>
    <row r="129" spans="2:11" ht="30" x14ac:dyDescent="0.25">
      <c r="B129" s="48" t="s">
        <v>197</v>
      </c>
      <c r="C129" s="82"/>
      <c r="D129" s="79">
        <v>1</v>
      </c>
      <c r="E129" s="76">
        <v>9127</v>
      </c>
      <c r="F129" s="160">
        <f>D129*E129</f>
        <v>9127</v>
      </c>
      <c r="G129" s="161"/>
      <c r="H129" s="78"/>
    </row>
    <row r="130" spans="2:11" ht="45" x14ac:dyDescent="0.25">
      <c r="B130" s="48" t="s">
        <v>198</v>
      </c>
      <c r="C130" s="82"/>
      <c r="D130" s="79">
        <v>1</v>
      </c>
      <c r="E130" s="76">
        <v>3000</v>
      </c>
      <c r="F130" s="160">
        <f>D130*E130</f>
        <v>3000</v>
      </c>
      <c r="G130" s="161"/>
      <c r="H130" s="78"/>
    </row>
    <row r="131" spans="2:11" ht="30" x14ac:dyDescent="0.25">
      <c r="B131" s="48" t="s">
        <v>199</v>
      </c>
      <c r="C131" s="82"/>
      <c r="D131" s="79">
        <v>19</v>
      </c>
      <c r="E131" s="76">
        <v>350</v>
      </c>
      <c r="F131" s="160">
        <f>D131*E131</f>
        <v>6650</v>
      </c>
      <c r="G131" s="161"/>
      <c r="H131" s="78"/>
    </row>
    <row r="132" spans="2:11" ht="15.95" customHeight="1" x14ac:dyDescent="0.25">
      <c r="B132" s="328" t="s">
        <v>200</v>
      </c>
      <c r="C132" s="328"/>
      <c r="D132" s="55"/>
      <c r="E132" s="143"/>
      <c r="F132" s="244">
        <f>SUM(F128:F131)</f>
        <v>27904</v>
      </c>
      <c r="G132" s="15"/>
    </row>
    <row r="133" spans="2:11" ht="15" customHeight="1" x14ac:dyDescent="0.25">
      <c r="B133" s="326" t="s">
        <v>124</v>
      </c>
      <c r="C133" s="326"/>
      <c r="G133" s="15"/>
    </row>
    <row r="134" spans="2:11" ht="15.75" x14ac:dyDescent="0.25">
      <c r="B134" s="65" t="s">
        <v>201</v>
      </c>
      <c r="C134" s="82" t="s">
        <v>180</v>
      </c>
      <c r="D134" s="83">
        <v>12</v>
      </c>
      <c r="E134" s="88">
        <v>4173.28</v>
      </c>
      <c r="F134" s="160">
        <f>D134*E134</f>
        <v>50079.360000000001</v>
      </c>
      <c r="G134" s="139"/>
      <c r="H134" s="107"/>
    </row>
    <row r="135" spans="2:11" x14ac:dyDescent="0.25">
      <c r="B135" s="162"/>
      <c r="G135" s="15"/>
    </row>
    <row r="136" spans="2:11" ht="15.75" x14ac:dyDescent="0.25">
      <c r="B136" s="163" t="s">
        <v>104</v>
      </c>
      <c r="C136" s="82"/>
      <c r="D136" s="83"/>
      <c r="E136" s="138"/>
      <c r="F136" s="227">
        <f>SUM(F134)</f>
        <v>50079.360000000001</v>
      </c>
    </row>
    <row r="138" spans="2:11" ht="47.1" customHeight="1" x14ac:dyDescent="0.25">
      <c r="B138" s="330" t="s">
        <v>363</v>
      </c>
      <c r="C138" s="330"/>
      <c r="D138" s="330"/>
      <c r="E138" s="330"/>
      <c r="F138" s="330"/>
      <c r="G138" s="330"/>
      <c r="H138" s="330"/>
      <c r="I138" s="330"/>
      <c r="J138" s="330"/>
      <c r="K138" s="330"/>
    </row>
    <row r="139" spans="2:11" ht="29.25" x14ac:dyDescent="0.25">
      <c r="B139" s="70" t="s">
        <v>107</v>
      </c>
      <c r="C139" s="71" t="s">
        <v>108</v>
      </c>
      <c r="D139" s="70" t="s">
        <v>127</v>
      </c>
      <c r="E139" s="71" t="s">
        <v>128</v>
      </c>
      <c r="F139" s="70" t="s">
        <v>129</v>
      </c>
      <c r="G139" s="72"/>
    </row>
    <row r="140" spans="2:11" ht="15" customHeight="1" x14ac:dyDescent="0.25">
      <c r="B140" s="326" t="s">
        <v>124</v>
      </c>
      <c r="C140" s="326"/>
      <c r="D140" s="71"/>
      <c r="E140" s="70"/>
      <c r="F140" s="71"/>
      <c r="G140" s="72"/>
    </row>
    <row r="141" spans="2:11" ht="15.75" x14ac:dyDescent="0.25">
      <c r="B141" s="65" t="s">
        <v>202</v>
      </c>
      <c r="C141" s="82" t="s">
        <v>114</v>
      </c>
      <c r="D141" s="165">
        <v>2</v>
      </c>
      <c r="E141" s="166">
        <v>50000</v>
      </c>
      <c r="F141" s="132">
        <f>D141*E141</f>
        <v>100000</v>
      </c>
      <c r="G141" s="167"/>
    </row>
    <row r="142" spans="2:11" ht="15.75" x14ac:dyDescent="0.25">
      <c r="B142" s="65" t="s">
        <v>202</v>
      </c>
      <c r="C142" s="82" t="s">
        <v>114</v>
      </c>
      <c r="D142" s="83">
        <v>1</v>
      </c>
      <c r="E142" s="88">
        <v>55000</v>
      </c>
      <c r="F142" s="132">
        <f>D142*E142</f>
        <v>55000</v>
      </c>
      <c r="G142" s="167"/>
      <c r="J142" s="1"/>
      <c r="K142" s="1"/>
    </row>
    <row r="143" spans="2:11" ht="15.75" x14ac:dyDescent="0.25">
      <c r="B143" s="64" t="s">
        <v>203</v>
      </c>
      <c r="C143" s="82" t="s">
        <v>114</v>
      </c>
      <c r="D143" s="83">
        <v>6</v>
      </c>
      <c r="E143" s="88">
        <v>15641.74</v>
      </c>
      <c r="F143" s="132">
        <f>D143*E143</f>
        <v>93850.44</v>
      </c>
      <c r="G143" s="167"/>
      <c r="K143" s="1"/>
    </row>
    <row r="144" spans="2:11" ht="15.75" x14ac:dyDescent="0.25">
      <c r="B144" s="331" t="s">
        <v>99</v>
      </c>
      <c r="C144" s="331"/>
      <c r="D144" s="50"/>
      <c r="E144" s="50"/>
      <c r="F144" s="203">
        <f>SUM(F141:F143)</f>
        <v>248850.44</v>
      </c>
      <c r="G144" s="167"/>
    </row>
    <row r="145" spans="2:8" ht="15.95" customHeight="1" x14ac:dyDescent="0.25">
      <c r="B145" s="326" t="s">
        <v>112</v>
      </c>
      <c r="C145" s="326"/>
      <c r="D145" s="55"/>
      <c r="E145" s="136"/>
      <c r="F145" s="226"/>
      <c r="G145" s="137"/>
    </row>
    <row r="146" spans="2:8" ht="31.5" x14ac:dyDescent="0.25">
      <c r="B146" s="65" t="s">
        <v>204</v>
      </c>
      <c r="C146" s="82" t="s">
        <v>163</v>
      </c>
      <c r="D146" s="83">
        <v>1</v>
      </c>
      <c r="E146" s="84">
        <v>582715.48</v>
      </c>
      <c r="F146" s="132">
        <f>SUM(D146*E146)</f>
        <v>582715.48</v>
      </c>
      <c r="G146" s="139"/>
      <c r="H146" s="191"/>
    </row>
    <row r="147" spans="2:8" ht="15.75" x14ac:dyDescent="0.25">
      <c r="B147" s="65" t="s">
        <v>205</v>
      </c>
      <c r="C147" s="82" t="s">
        <v>163</v>
      </c>
      <c r="D147" s="83">
        <v>1</v>
      </c>
      <c r="E147" s="84">
        <v>31034.14</v>
      </c>
      <c r="F147" s="132">
        <f>SUM(D147*E147)</f>
        <v>31034.14</v>
      </c>
      <c r="G147" s="139"/>
      <c r="H147" s="191"/>
    </row>
    <row r="148" spans="2:8" x14ac:dyDescent="0.25">
      <c r="B148" s="331" t="s">
        <v>99</v>
      </c>
      <c r="C148" s="331"/>
      <c r="D148" s="50"/>
      <c r="E148" s="50"/>
      <c r="F148" s="52">
        <f>SUM(F146:F147)</f>
        <v>613749.62</v>
      </c>
      <c r="G148" s="89"/>
    </row>
    <row r="149" spans="2:8" ht="15.95" customHeight="1" x14ac:dyDescent="0.25">
      <c r="B149" s="326" t="s">
        <v>112</v>
      </c>
      <c r="C149" s="326"/>
      <c r="D149" s="55"/>
      <c r="E149" s="136"/>
      <c r="F149" s="168"/>
      <c r="G149" s="167"/>
    </row>
    <row r="150" spans="2:8" ht="47.25" x14ac:dyDescent="0.25">
      <c r="B150" s="65" t="s">
        <v>206</v>
      </c>
      <c r="C150" s="82" t="s">
        <v>196</v>
      </c>
      <c r="D150" s="82">
        <v>177</v>
      </c>
      <c r="E150" s="83">
        <v>265</v>
      </c>
      <c r="F150" s="132">
        <f>D150*E150*11</f>
        <v>515955</v>
      </c>
      <c r="G150" s="192"/>
      <c r="H150" s="193"/>
    </row>
    <row r="151" spans="2:8" ht="15.95" customHeight="1" x14ac:dyDescent="0.25">
      <c r="B151" s="328" t="s">
        <v>104</v>
      </c>
      <c r="C151" s="328"/>
      <c r="D151" s="55"/>
      <c r="E151" s="164"/>
      <c r="F151" s="227">
        <f>SUM(F150)</f>
        <v>515955</v>
      </c>
      <c r="G151" s="167"/>
    </row>
    <row r="152" spans="2:8" ht="15.95" customHeight="1" x14ac:dyDescent="0.25">
      <c r="B152" s="326" t="s">
        <v>124</v>
      </c>
      <c r="C152" s="326"/>
      <c r="D152" s="82"/>
      <c r="E152" s="83"/>
      <c r="F152" s="67"/>
      <c r="G152" s="167"/>
    </row>
    <row r="153" spans="2:8" ht="31.5" x14ac:dyDescent="0.25">
      <c r="B153" s="125" t="s">
        <v>207</v>
      </c>
      <c r="C153" s="103" t="s">
        <v>208</v>
      </c>
      <c r="D153" s="158">
        <v>4</v>
      </c>
      <c r="E153" s="111">
        <v>5100</v>
      </c>
      <c r="F153" s="126">
        <f>D153*E153</f>
        <v>20400</v>
      </c>
      <c r="G153" s="194"/>
      <c r="H153" s="113"/>
    </row>
    <row r="154" spans="2:8" ht="31.5" x14ac:dyDescent="0.25">
      <c r="B154" s="109" t="s">
        <v>209</v>
      </c>
      <c r="C154" s="103" t="s">
        <v>180</v>
      </c>
      <c r="D154" s="158">
        <v>12</v>
      </c>
      <c r="E154" s="111">
        <v>900</v>
      </c>
      <c r="F154" s="126">
        <f>D154*E154</f>
        <v>10800</v>
      </c>
      <c r="G154" s="194"/>
      <c r="H154" s="113"/>
    </row>
    <row r="155" spans="2:8" ht="15.95" customHeight="1" x14ac:dyDescent="0.25">
      <c r="B155" s="332" t="s">
        <v>104</v>
      </c>
      <c r="C155" s="332"/>
      <c r="D155" s="156"/>
      <c r="E155" s="157"/>
      <c r="F155" s="228">
        <f>SUM(F153:F154)</f>
        <v>31200</v>
      </c>
      <c r="G155" s="167"/>
    </row>
    <row r="156" spans="2:8" ht="15.95" customHeight="1" x14ac:dyDescent="0.25">
      <c r="B156" s="326" t="s">
        <v>112</v>
      </c>
      <c r="C156" s="326"/>
      <c r="D156" s="55"/>
      <c r="E156" s="136"/>
      <c r="F156" s="136"/>
      <c r="G156" s="167"/>
    </row>
    <row r="157" spans="2:8" ht="15.75" x14ac:dyDescent="0.25">
      <c r="B157" s="64" t="s">
        <v>210</v>
      </c>
      <c r="C157" s="82" t="s">
        <v>211</v>
      </c>
      <c r="D157" s="83">
        <v>227</v>
      </c>
      <c r="E157" s="67">
        <v>56.64</v>
      </c>
      <c r="F157" s="132">
        <f>D157*E157</f>
        <v>12857.28</v>
      </c>
      <c r="G157" s="167"/>
    </row>
    <row r="158" spans="2:8" ht="15.75" x14ac:dyDescent="0.25">
      <c r="B158" s="64" t="s">
        <v>212</v>
      </c>
      <c r="C158" s="82" t="s">
        <v>211</v>
      </c>
      <c r="D158" s="83">
        <v>227</v>
      </c>
      <c r="E158" s="67">
        <v>56.64</v>
      </c>
      <c r="F158" s="132">
        <f>D158*E158</f>
        <v>12857.28</v>
      </c>
      <c r="G158" s="167"/>
    </row>
    <row r="159" spans="2:8" ht="15.75" x14ac:dyDescent="0.25">
      <c r="B159" s="329" t="s">
        <v>104</v>
      </c>
      <c r="C159" s="329"/>
      <c r="D159" s="57"/>
      <c r="E159" s="57"/>
      <c r="F159" s="63">
        <f>SUM(F157:F158)</f>
        <v>25714.560000000001</v>
      </c>
      <c r="G159" s="167"/>
    </row>
    <row r="160" spans="2:8" ht="15.95" customHeight="1" x14ac:dyDescent="0.25">
      <c r="B160" s="326" t="s">
        <v>112</v>
      </c>
      <c r="C160" s="326"/>
      <c r="D160" s="55"/>
      <c r="E160" s="136"/>
      <c r="F160" s="136"/>
      <c r="G160" s="167"/>
    </row>
    <row r="161" spans="2:7" ht="31.5" x14ac:dyDescent="0.25">
      <c r="B161" s="65" t="s">
        <v>213</v>
      </c>
      <c r="C161" s="82" t="s">
        <v>214</v>
      </c>
      <c r="D161" s="83">
        <v>36</v>
      </c>
      <c r="E161" s="138">
        <v>3139.33</v>
      </c>
      <c r="F161" s="132">
        <f>D161*E161</f>
        <v>113015.88</v>
      </c>
      <c r="G161" s="167"/>
    </row>
    <row r="162" spans="2:7" ht="15.75" x14ac:dyDescent="0.25">
      <c r="B162" s="65" t="s">
        <v>215</v>
      </c>
      <c r="C162" s="82" t="s">
        <v>163</v>
      </c>
      <c r="D162" s="83">
        <v>1</v>
      </c>
      <c r="E162" s="138">
        <f>11000-29.97+0.11</f>
        <v>10970.140000000001</v>
      </c>
      <c r="F162" s="132">
        <f>D162*E162</f>
        <v>10970.140000000001</v>
      </c>
      <c r="G162" s="167"/>
    </row>
    <row r="163" spans="2:7" ht="15.75" x14ac:dyDescent="0.25">
      <c r="B163" s="329" t="s">
        <v>104</v>
      </c>
      <c r="C163" s="329"/>
      <c r="D163" s="57"/>
      <c r="E163" s="57"/>
      <c r="F163" s="229">
        <f>SUM(F161:F162)</f>
        <v>123986.02</v>
      </c>
      <c r="G163" s="167"/>
    </row>
    <row r="164" spans="2:7" ht="15.95" customHeight="1" x14ac:dyDescent="0.25">
      <c r="B164" s="326" t="s">
        <v>124</v>
      </c>
      <c r="C164" s="326"/>
      <c r="D164" s="57"/>
      <c r="E164" s="57"/>
      <c r="F164" s="229"/>
      <c r="G164" s="167"/>
    </row>
    <row r="165" spans="2:7" ht="15.75" x14ac:dyDescent="0.25">
      <c r="B165" s="141" t="s">
        <v>216</v>
      </c>
      <c r="C165" s="82"/>
      <c r="D165" s="83"/>
      <c r="E165" s="88"/>
      <c r="F165" s="227"/>
      <c r="G165" s="167"/>
    </row>
    <row r="166" spans="2:7" ht="30" x14ac:dyDescent="0.25">
      <c r="B166" s="48" t="s">
        <v>217</v>
      </c>
      <c r="C166" s="82" t="s">
        <v>196</v>
      </c>
      <c r="D166" s="79">
        <v>3</v>
      </c>
      <c r="E166" s="169">
        <v>3000</v>
      </c>
      <c r="F166" s="230">
        <f>D166*E166</f>
        <v>9000</v>
      </c>
      <c r="G166" s="167"/>
    </row>
    <row r="167" spans="2:7" ht="30" x14ac:dyDescent="0.25">
      <c r="B167" s="48" t="s">
        <v>218</v>
      </c>
      <c r="C167" s="82" t="s">
        <v>196</v>
      </c>
      <c r="D167" s="79">
        <v>1</v>
      </c>
      <c r="E167" s="169">
        <v>13300</v>
      </c>
      <c r="F167" s="230">
        <f>D167*E167</f>
        <v>13300</v>
      </c>
      <c r="G167" s="167"/>
    </row>
    <row r="168" spans="2:7" ht="30" x14ac:dyDescent="0.25">
      <c r="B168" s="48" t="s">
        <v>219</v>
      </c>
      <c r="C168" s="82" t="s">
        <v>196</v>
      </c>
      <c r="D168" s="79">
        <v>1</v>
      </c>
      <c r="E168" s="169">
        <v>6900</v>
      </c>
      <c r="F168" s="230">
        <f>D168*E168</f>
        <v>6900</v>
      </c>
      <c r="G168" s="167"/>
    </row>
    <row r="169" spans="2:7" ht="15.95" customHeight="1" x14ac:dyDescent="0.25">
      <c r="B169" s="328" t="s">
        <v>158</v>
      </c>
      <c r="C169" s="328"/>
      <c r="D169" s="55"/>
      <c r="E169" s="143"/>
      <c r="F169" s="227">
        <f>SUM(F166:F168)</f>
        <v>29200</v>
      </c>
      <c r="G169" s="167"/>
    </row>
    <row r="170" spans="2:7" ht="15.75" x14ac:dyDescent="0.25">
      <c r="B170" s="170" t="s">
        <v>220</v>
      </c>
      <c r="C170" s="82" t="s">
        <v>114</v>
      </c>
      <c r="D170" s="97">
        <v>300</v>
      </c>
      <c r="E170" s="171">
        <v>100.98</v>
      </c>
      <c r="F170" s="132">
        <f>D170*E170</f>
        <v>30294</v>
      </c>
      <c r="G170" s="167"/>
    </row>
    <row r="171" spans="2:7" ht="15.95" customHeight="1" x14ac:dyDescent="0.25">
      <c r="B171" s="326" t="s">
        <v>112</v>
      </c>
      <c r="C171" s="326"/>
      <c r="D171" s="55"/>
      <c r="E171" s="136"/>
      <c r="F171" s="226"/>
      <c r="G171" s="167"/>
    </row>
    <row r="172" spans="2:7" ht="15.75" x14ac:dyDescent="0.25">
      <c r="B172" s="64" t="s">
        <v>221</v>
      </c>
      <c r="C172" s="82" t="s">
        <v>222</v>
      </c>
      <c r="D172" s="83">
        <v>9.1999999999999993</v>
      </c>
      <c r="E172" s="138"/>
      <c r="F172" s="66"/>
      <c r="G172" s="167"/>
    </row>
    <row r="173" spans="2:7" ht="15.75" x14ac:dyDescent="0.25">
      <c r="B173" s="64" t="s">
        <v>223</v>
      </c>
      <c r="C173" s="82" t="s">
        <v>222</v>
      </c>
      <c r="D173" s="83">
        <v>9</v>
      </c>
      <c r="E173" s="138"/>
      <c r="F173" s="66"/>
      <c r="G173" s="167"/>
    </row>
    <row r="174" spans="2:7" ht="15.75" x14ac:dyDescent="0.25">
      <c r="B174" s="64" t="s">
        <v>224</v>
      </c>
      <c r="C174" s="82"/>
      <c r="D174" s="83">
        <v>2001</v>
      </c>
      <c r="E174" s="138">
        <v>50.8</v>
      </c>
      <c r="F174" s="132">
        <f>D174*E174</f>
        <v>101650.79999999999</v>
      </c>
      <c r="G174" s="172"/>
    </row>
    <row r="175" spans="2:7" ht="15.75" x14ac:dyDescent="0.25">
      <c r="B175" s="64" t="s">
        <v>224</v>
      </c>
      <c r="C175" s="82"/>
      <c r="D175" s="83"/>
      <c r="E175" s="138"/>
      <c r="F175" s="132">
        <f>D175*E175</f>
        <v>0</v>
      </c>
      <c r="G175" s="167"/>
    </row>
    <row r="176" spans="2:7" ht="15.75" x14ac:dyDescent="0.25">
      <c r="B176" s="329" t="s">
        <v>104</v>
      </c>
      <c r="C176" s="329"/>
      <c r="D176" s="57"/>
      <c r="E176" s="57"/>
      <c r="F176" s="229">
        <f>SUM(F174:F175)</f>
        <v>101650.79999999999</v>
      </c>
      <c r="G176" s="167"/>
    </row>
    <row r="177" spans="2:11" ht="15.95" customHeight="1" x14ac:dyDescent="0.25">
      <c r="B177" s="326" t="s">
        <v>124</v>
      </c>
      <c r="C177" s="326"/>
      <c r="D177" s="103"/>
      <c r="E177" s="103"/>
      <c r="F177" s="231"/>
      <c r="G177" s="167"/>
    </row>
    <row r="178" spans="2:11" ht="15.75" x14ac:dyDescent="0.25">
      <c r="B178" s="108" t="s">
        <v>225</v>
      </c>
      <c r="C178" s="82" t="s">
        <v>163</v>
      </c>
      <c r="D178" s="83">
        <v>1</v>
      </c>
      <c r="E178" s="88">
        <v>1800</v>
      </c>
      <c r="F178" s="132">
        <v>1800</v>
      </c>
      <c r="G178" s="167"/>
    </row>
    <row r="179" spans="2:11" ht="15.75" x14ac:dyDescent="0.25">
      <c r="B179" s="109" t="s">
        <v>226</v>
      </c>
      <c r="C179" s="103" t="s">
        <v>163</v>
      </c>
      <c r="D179" s="158">
        <v>1</v>
      </c>
      <c r="E179" s="111">
        <f>4223.75-1228.36</f>
        <v>2995.3900000000003</v>
      </c>
      <c r="F179" s="126">
        <f>D179*E179-0.01+29.97</f>
        <v>3025.35</v>
      </c>
      <c r="G179" s="167"/>
      <c r="H179" s="1"/>
    </row>
    <row r="180" spans="2:11" ht="15.95" customHeight="1" x14ac:dyDescent="0.25">
      <c r="B180" s="327" t="s">
        <v>158</v>
      </c>
      <c r="C180" s="327"/>
      <c r="D180" s="115"/>
      <c r="E180" s="115"/>
      <c r="F180" s="202">
        <f>SUM(F178:F179)</f>
        <v>4825.3500000000004</v>
      </c>
      <c r="G180" s="167"/>
      <c r="H180" s="1"/>
    </row>
    <row r="181" spans="2:11" ht="15.95" customHeight="1" x14ac:dyDescent="0.25">
      <c r="B181" s="327" t="s">
        <v>99</v>
      </c>
      <c r="C181" s="327"/>
      <c r="D181" s="115"/>
      <c r="E181" s="115"/>
      <c r="F181" s="202">
        <f>SUM(F176+F180)</f>
        <v>106476.15</v>
      </c>
      <c r="G181" s="167"/>
      <c r="H181" s="1"/>
    </row>
    <row r="182" spans="2:11" ht="15.95" customHeight="1" x14ac:dyDescent="0.25">
      <c r="B182" s="199"/>
      <c r="C182" s="199"/>
      <c r="D182" s="200"/>
      <c r="E182" s="200"/>
      <c r="F182" s="168"/>
      <c r="G182" s="167"/>
      <c r="H182" s="1"/>
    </row>
    <row r="183" spans="2:11" ht="47.25" x14ac:dyDescent="0.25">
      <c r="B183" s="115" t="s">
        <v>359</v>
      </c>
      <c r="C183" s="217" t="s">
        <v>346</v>
      </c>
      <c r="D183" s="213" t="s">
        <v>344</v>
      </c>
      <c r="E183" s="213" t="s">
        <v>345</v>
      </c>
      <c r="F183" s="134" t="s">
        <v>354</v>
      </c>
      <c r="G183" s="167"/>
      <c r="H183" s="1"/>
    </row>
    <row r="184" spans="2:11" ht="15.75" x14ac:dyDescent="0.25">
      <c r="B184" s="115"/>
      <c r="C184" s="202"/>
      <c r="D184" s="115"/>
      <c r="E184" s="201"/>
      <c r="F184" s="134"/>
      <c r="G184" s="167"/>
      <c r="H184" s="1"/>
    </row>
    <row r="185" spans="2:11" ht="47.25" x14ac:dyDescent="0.25">
      <c r="B185" s="125" t="s">
        <v>100</v>
      </c>
      <c r="C185" s="215">
        <v>0</v>
      </c>
      <c r="D185" s="218">
        <f>SUM(C16)</f>
        <v>96627171.809780002</v>
      </c>
      <c r="E185" s="218">
        <f>SUM(D16)</f>
        <v>10452702.5</v>
      </c>
      <c r="F185" s="236">
        <f>SUM(C185:E185)</f>
        <v>107079874.30978</v>
      </c>
      <c r="G185" s="167"/>
      <c r="H185" s="1"/>
    </row>
    <row r="186" spans="2:11" ht="110.25" x14ac:dyDescent="0.25">
      <c r="B186" s="216" t="s">
        <v>350</v>
      </c>
      <c r="C186" s="222">
        <f>SUM(F100+F125)</f>
        <v>465192.9975</v>
      </c>
      <c r="D186" s="222">
        <f>SUM(F32+F68+F111+F148+F151+F159+F163+F176)</f>
        <v>3142499.05</v>
      </c>
      <c r="E186" s="223">
        <f>SUM(F36+F72+F93+F105+F117+F132+F134+F144+F155+F169+F170+F180)</f>
        <v>1886486.43</v>
      </c>
      <c r="F186" s="222">
        <f>SUM(C186:E186)</f>
        <v>5494178.4775</v>
      </c>
      <c r="G186" s="167"/>
      <c r="H186" s="1"/>
    </row>
    <row r="187" spans="2:11" ht="15.75" x14ac:dyDescent="0.25">
      <c r="B187" s="245">
        <f>SUM('расчет подушевого 2022'!C157)</f>
        <v>5494178.4802737962</v>
      </c>
      <c r="C187" s="214"/>
      <c r="D187" s="214"/>
      <c r="E187" s="214"/>
      <c r="F187" s="246"/>
    </row>
    <row r="188" spans="2:11" ht="15.75" x14ac:dyDescent="0.25">
      <c r="B188" s="245"/>
      <c r="C188" s="214"/>
      <c r="D188" s="214"/>
      <c r="E188" s="214"/>
      <c r="F188" s="246"/>
    </row>
    <row r="189" spans="2:11" ht="15.75" x14ac:dyDescent="0.25">
      <c r="B189" s="245">
        <f>SUM('расчет подушевого 2022'!C157+'расчет подушевого 2022'!C55+'расчет подушевого 2022'!C56)</f>
        <v>112574052.7902738</v>
      </c>
      <c r="C189" s="214"/>
      <c r="D189" s="214"/>
      <c r="E189" s="214"/>
      <c r="F189" s="246">
        <f>SUM(F185:F186)</f>
        <v>112574052.78728001</v>
      </c>
    </row>
    <row r="190" spans="2:11" x14ac:dyDescent="0.25">
      <c r="B190" s="241"/>
      <c r="C190" s="17"/>
      <c r="D190" s="17"/>
      <c r="E190" s="17"/>
      <c r="F190" s="242"/>
    </row>
    <row r="191" spans="2:11" ht="77.25" customHeight="1" x14ac:dyDescent="0.25">
      <c r="B191" s="324" t="s">
        <v>361</v>
      </c>
      <c r="C191" s="317"/>
      <c r="D191" s="317"/>
      <c r="E191" s="317"/>
      <c r="F191" s="317"/>
      <c r="G191" s="6"/>
      <c r="H191" s="6"/>
      <c r="I191" s="6"/>
      <c r="J191" s="6"/>
      <c r="K191" s="6"/>
    </row>
    <row r="194" spans="2:14" ht="15.75" x14ac:dyDescent="0.25">
      <c r="B194" s="174" t="s">
        <v>227</v>
      </c>
    </row>
    <row r="195" spans="2:14" ht="15.75" x14ac:dyDescent="0.25">
      <c r="B195" s="174"/>
    </row>
    <row r="196" spans="2:14" ht="45" x14ac:dyDescent="0.25">
      <c r="B196" s="46" t="s">
        <v>101</v>
      </c>
      <c r="C196" s="47" t="s">
        <v>102</v>
      </c>
      <c r="D196" s="47" t="s">
        <v>103</v>
      </c>
      <c r="E196" s="47" t="s">
        <v>104</v>
      </c>
    </row>
    <row r="197" spans="2:14" ht="90" x14ac:dyDescent="0.25">
      <c r="B197" s="48" t="s">
        <v>377</v>
      </c>
      <c r="C197" s="49">
        <f>SUM([2]Лист7!B2)</f>
        <v>7850144.4400000004</v>
      </c>
      <c r="D197" s="49">
        <f>4497957.39</f>
        <v>4497957.3899999997</v>
      </c>
      <c r="E197" s="49">
        <f>SUM(C197:D197)</f>
        <v>12348101.83</v>
      </c>
      <c r="F197" s="1"/>
      <c r="G197" s="1"/>
      <c r="H197" s="1"/>
    </row>
    <row r="198" spans="2:14" ht="30" x14ac:dyDescent="0.25">
      <c r="B198" s="48" t="s">
        <v>352</v>
      </c>
      <c r="C198" s="49">
        <f>SUM([2]Лист7!H2)</f>
        <v>2370743.6208799998</v>
      </c>
      <c r="D198" s="49">
        <v>1358383.13</v>
      </c>
      <c r="E198" s="49">
        <f>SUM(C198:D198)</f>
        <v>3729126.7508799997</v>
      </c>
    </row>
    <row r="199" spans="2:14" ht="30.75" customHeight="1" x14ac:dyDescent="0.25">
      <c r="B199" s="219" t="s">
        <v>351</v>
      </c>
      <c r="C199" s="50">
        <v>185103.02</v>
      </c>
      <c r="D199" s="50"/>
      <c r="E199" s="49">
        <f>SUM(C199:D199)</f>
        <v>185103.02</v>
      </c>
    </row>
    <row r="200" spans="2:14" x14ac:dyDescent="0.25">
      <c r="B200" s="50" t="s">
        <v>105</v>
      </c>
      <c r="C200" s="50"/>
      <c r="D200" s="49">
        <f>-3386361.99+0.29-0.15</f>
        <v>-3386361.85</v>
      </c>
      <c r="E200" s="49">
        <f>SUM(C200:D200)</f>
        <v>-3386361.85</v>
      </c>
    </row>
    <row r="201" spans="2:14" x14ac:dyDescent="0.25">
      <c r="B201" s="50" t="s">
        <v>106</v>
      </c>
      <c r="C201" s="50">
        <v>55901.11</v>
      </c>
      <c r="D201" s="50">
        <f>-1022681.32+0.15</f>
        <v>-1022681.1699999999</v>
      </c>
      <c r="E201" s="49">
        <f>SUM(C201:D201)</f>
        <v>-966780.05999999994</v>
      </c>
      <c r="F201" s="1"/>
      <c r="G201" s="1"/>
      <c r="H201" s="1"/>
    </row>
    <row r="202" spans="2:14" x14ac:dyDescent="0.25">
      <c r="B202" s="50"/>
      <c r="C202" s="50"/>
      <c r="D202" s="50"/>
      <c r="E202" s="49"/>
    </row>
    <row r="203" spans="2:14" x14ac:dyDescent="0.25">
      <c r="B203" s="50"/>
      <c r="C203" s="52">
        <f>SUM(C197:C202)</f>
        <v>10461892.190879999</v>
      </c>
      <c r="D203" s="175">
        <f>SUM(D197:D202)</f>
        <v>1447297.4999999995</v>
      </c>
      <c r="E203" s="52">
        <f>SUM(C203:D203)</f>
        <v>11909189.690879999</v>
      </c>
      <c r="F203" s="1"/>
      <c r="G203" s="1"/>
    </row>
    <row r="204" spans="2:14" ht="15.75" x14ac:dyDescent="0.25">
      <c r="B204" s="174"/>
    </row>
    <row r="205" spans="2:14" ht="24.4" customHeight="1" x14ac:dyDescent="0.25">
      <c r="B205" s="174" t="s">
        <v>360</v>
      </c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7" spans="2:14" ht="31.5" x14ac:dyDescent="0.25">
      <c r="B207" s="55" t="s">
        <v>107</v>
      </c>
      <c r="C207" s="55" t="s">
        <v>170</v>
      </c>
      <c r="D207" s="55" t="s">
        <v>127</v>
      </c>
      <c r="E207" s="55" t="s">
        <v>128</v>
      </c>
      <c r="F207" s="55" t="s">
        <v>229</v>
      </c>
      <c r="G207" s="135"/>
    </row>
    <row r="208" spans="2:14" ht="15.75" x14ac:dyDescent="0.25">
      <c r="B208" s="55">
        <v>1</v>
      </c>
      <c r="C208" s="55">
        <v>2</v>
      </c>
      <c r="D208" s="55">
        <v>3</v>
      </c>
      <c r="E208" s="136">
        <v>4</v>
      </c>
      <c r="F208" s="136">
        <v>5</v>
      </c>
      <c r="G208" s="137"/>
    </row>
    <row r="209" spans="2:8" ht="15.95" customHeight="1" x14ac:dyDescent="0.25">
      <c r="B209" s="326" t="s">
        <v>112</v>
      </c>
      <c r="C209" s="326"/>
      <c r="D209" s="55"/>
      <c r="E209" s="136"/>
      <c r="F209" s="136"/>
      <c r="G209" s="137"/>
    </row>
    <row r="210" spans="2:8" ht="31.5" x14ac:dyDescent="0.25">
      <c r="B210" s="65" t="s">
        <v>230</v>
      </c>
      <c r="C210" s="82" t="s">
        <v>163</v>
      </c>
      <c r="D210" s="83">
        <v>1</v>
      </c>
      <c r="E210" s="67">
        <v>78500.53</v>
      </c>
      <c r="F210" s="86">
        <f>SUM(D210*E210)</f>
        <v>78500.53</v>
      </c>
      <c r="G210" s="139"/>
      <c r="H210" s="195"/>
    </row>
    <row r="211" spans="2:8" ht="31.5" x14ac:dyDescent="0.25">
      <c r="B211" s="65" t="s">
        <v>231</v>
      </c>
      <c r="C211" s="82" t="s">
        <v>163</v>
      </c>
      <c r="D211" s="83">
        <v>0</v>
      </c>
      <c r="E211" s="67">
        <v>0</v>
      </c>
      <c r="F211" s="86">
        <f>SUM(D211*E211)</f>
        <v>0</v>
      </c>
      <c r="G211" s="177"/>
    </row>
    <row r="212" spans="2:8" x14ac:dyDescent="0.25">
      <c r="B212" s="329" t="s">
        <v>104</v>
      </c>
      <c r="C212" s="329"/>
      <c r="D212" s="57"/>
      <c r="E212" s="57"/>
      <c r="F212" s="63">
        <f>SUM(F210:F211)</f>
        <v>78500.53</v>
      </c>
      <c r="G212" s="69"/>
    </row>
    <row r="213" spans="2:8" ht="15" customHeight="1" x14ac:dyDescent="0.25">
      <c r="B213" s="326" t="s">
        <v>124</v>
      </c>
      <c r="C213" s="326"/>
    </row>
    <row r="214" spans="2:8" ht="15.75" x14ac:dyDescent="0.25">
      <c r="B214" s="141" t="s">
        <v>216</v>
      </c>
      <c r="C214" s="82"/>
      <c r="D214" s="83"/>
      <c r="E214" s="88"/>
      <c r="F214" s="232"/>
      <c r="G214" s="144"/>
    </row>
    <row r="215" spans="2:8" ht="15.75" x14ac:dyDescent="0.25">
      <c r="B215" s="48" t="s">
        <v>232</v>
      </c>
      <c r="C215" s="82" t="s">
        <v>196</v>
      </c>
      <c r="D215" s="79">
        <v>1</v>
      </c>
      <c r="E215" s="169">
        <v>5600</v>
      </c>
      <c r="F215" s="76">
        <f t="shared" ref="F215:F222" si="4">D215*E215</f>
        <v>5600</v>
      </c>
      <c r="G215" s="161"/>
      <c r="H215" s="196"/>
    </row>
    <row r="216" spans="2:8" ht="30" x14ac:dyDescent="0.25">
      <c r="B216" s="48" t="s">
        <v>233</v>
      </c>
      <c r="C216" s="82" t="s">
        <v>196</v>
      </c>
      <c r="D216" s="79">
        <v>2</v>
      </c>
      <c r="E216" s="169">
        <v>5775</v>
      </c>
      <c r="F216" s="76">
        <f t="shared" si="4"/>
        <v>11550</v>
      </c>
      <c r="G216" s="161"/>
      <c r="H216" s="196"/>
    </row>
    <row r="217" spans="2:8" ht="15.75" x14ac:dyDescent="0.25">
      <c r="B217" s="48" t="s">
        <v>234</v>
      </c>
      <c r="C217" s="82" t="s">
        <v>196</v>
      </c>
      <c r="D217" s="79">
        <v>1</v>
      </c>
      <c r="E217" s="169">
        <v>9000</v>
      </c>
      <c r="F217" s="76">
        <f t="shared" si="4"/>
        <v>9000</v>
      </c>
      <c r="G217" s="161"/>
      <c r="H217" s="196"/>
    </row>
    <row r="218" spans="2:8" ht="15.75" x14ac:dyDescent="0.25">
      <c r="B218" s="48" t="s">
        <v>235</v>
      </c>
      <c r="C218" s="82" t="s">
        <v>196</v>
      </c>
      <c r="D218" s="79">
        <v>2</v>
      </c>
      <c r="E218" s="169">
        <v>11550</v>
      </c>
      <c r="F218" s="76">
        <f t="shared" si="4"/>
        <v>23100</v>
      </c>
      <c r="G218" s="161"/>
      <c r="H218" s="196"/>
    </row>
    <row r="219" spans="2:8" ht="15.75" x14ac:dyDescent="0.25">
      <c r="B219" s="48" t="s">
        <v>236</v>
      </c>
      <c r="C219" s="82" t="s">
        <v>196</v>
      </c>
      <c r="D219" s="79">
        <v>1</v>
      </c>
      <c r="E219" s="169">
        <v>1500</v>
      </c>
      <c r="F219" s="76">
        <f t="shared" si="4"/>
        <v>1500</v>
      </c>
      <c r="G219" s="161"/>
      <c r="H219" s="196"/>
    </row>
    <row r="220" spans="2:8" ht="15.75" x14ac:dyDescent="0.25">
      <c r="B220" s="48" t="s">
        <v>235</v>
      </c>
      <c r="C220" s="82" t="s">
        <v>196</v>
      </c>
      <c r="D220" s="79">
        <v>1</v>
      </c>
      <c r="E220" s="169">
        <v>11550</v>
      </c>
      <c r="F220" s="76">
        <f t="shared" si="4"/>
        <v>11550</v>
      </c>
      <c r="G220" s="161"/>
      <c r="H220" s="196"/>
    </row>
    <row r="221" spans="2:8" ht="15.75" x14ac:dyDescent="0.25">
      <c r="B221" s="48" t="s">
        <v>237</v>
      </c>
      <c r="C221" s="82" t="s">
        <v>196</v>
      </c>
      <c r="D221" s="79">
        <v>1</v>
      </c>
      <c r="E221" s="169">
        <v>6560</v>
      </c>
      <c r="F221" s="76">
        <f t="shared" si="4"/>
        <v>6560</v>
      </c>
      <c r="G221" s="161"/>
      <c r="H221" s="196"/>
    </row>
    <row r="222" spans="2:8" ht="15.75" x14ac:dyDescent="0.25">
      <c r="B222" s="48" t="s">
        <v>236</v>
      </c>
      <c r="C222" s="82" t="s">
        <v>196</v>
      </c>
      <c r="D222" s="79">
        <v>3</v>
      </c>
      <c r="E222" s="169">
        <v>4500</v>
      </c>
      <c r="F222" s="76">
        <f t="shared" si="4"/>
        <v>13500</v>
      </c>
      <c r="G222" s="161"/>
      <c r="H222" s="196"/>
    </row>
    <row r="223" spans="2:8" ht="15.95" customHeight="1" x14ac:dyDescent="0.25">
      <c r="B223" s="328" t="s">
        <v>158</v>
      </c>
      <c r="C223" s="328"/>
      <c r="D223" s="55"/>
      <c r="E223" s="143"/>
      <c r="F223" s="232">
        <f>SUM(F215:F222)</f>
        <v>82360</v>
      </c>
      <c r="G223" s="144"/>
    </row>
    <row r="225" spans="2:8" ht="15.95" customHeight="1" x14ac:dyDescent="0.25">
      <c r="B225" s="326" t="s">
        <v>112</v>
      </c>
      <c r="C225" s="326"/>
      <c r="D225" s="55"/>
      <c r="E225" s="136"/>
      <c r="F225" s="136"/>
      <c r="G225" s="178"/>
    </row>
    <row r="226" spans="2:8" ht="15.75" x14ac:dyDescent="0.25">
      <c r="B226" s="65" t="s">
        <v>238</v>
      </c>
      <c r="C226" s="82" t="s">
        <v>163</v>
      </c>
      <c r="D226" s="138">
        <v>1</v>
      </c>
      <c r="E226" s="138">
        <v>55140</v>
      </c>
      <c r="F226" s="132">
        <f>D226*E226</f>
        <v>55140</v>
      </c>
      <c r="G226" s="197"/>
      <c r="H226" s="140"/>
    </row>
    <row r="227" spans="2:8" ht="15.95" customHeight="1" x14ac:dyDescent="0.25">
      <c r="B227" s="328" t="s">
        <v>158</v>
      </c>
      <c r="C227" s="328"/>
      <c r="D227" s="55"/>
      <c r="E227" s="143"/>
      <c r="F227" s="227">
        <f>SUM(F226:F226)</f>
        <v>55140</v>
      </c>
      <c r="G227" s="144"/>
    </row>
    <row r="228" spans="2:8" x14ac:dyDescent="0.25">
      <c r="F228" s="233"/>
    </row>
    <row r="229" spans="2:8" ht="15.95" customHeight="1" x14ac:dyDescent="0.25">
      <c r="B229" s="326" t="s">
        <v>124</v>
      </c>
      <c r="C229" s="326"/>
      <c r="D229" s="103"/>
      <c r="E229" s="103"/>
      <c r="F229" s="231"/>
      <c r="G229" s="105"/>
    </row>
    <row r="230" spans="2:8" ht="31.5" x14ac:dyDescent="0.25">
      <c r="B230" s="142" t="s">
        <v>239</v>
      </c>
      <c r="C230" s="82" t="s">
        <v>163</v>
      </c>
      <c r="D230" s="83"/>
      <c r="E230" s="88"/>
      <c r="F230" s="132"/>
      <c r="G230" s="85"/>
    </row>
    <row r="231" spans="2:8" ht="31.5" x14ac:dyDescent="0.25">
      <c r="B231" s="65" t="s">
        <v>240</v>
      </c>
      <c r="C231" s="82" t="s">
        <v>114</v>
      </c>
      <c r="D231" s="83">
        <v>1</v>
      </c>
      <c r="E231" s="88">
        <v>350</v>
      </c>
      <c r="F231" s="132">
        <f t="shared" ref="F231:F267" si="5">D231*E231</f>
        <v>350</v>
      </c>
      <c r="G231" s="139"/>
      <c r="H231" s="107"/>
    </row>
    <row r="232" spans="2:8" ht="31.5" x14ac:dyDescent="0.25">
      <c r="B232" s="65" t="s">
        <v>241</v>
      </c>
      <c r="C232" s="82" t="s">
        <v>114</v>
      </c>
      <c r="D232" s="83">
        <v>1</v>
      </c>
      <c r="E232" s="88">
        <v>700</v>
      </c>
      <c r="F232" s="132">
        <f t="shared" si="5"/>
        <v>700</v>
      </c>
      <c r="G232" s="139"/>
      <c r="H232" s="107"/>
    </row>
    <row r="233" spans="2:8" ht="63" x14ac:dyDescent="0.25">
      <c r="B233" s="65" t="s">
        <v>242</v>
      </c>
      <c r="C233" s="82" t="s">
        <v>114</v>
      </c>
      <c r="D233" s="83">
        <v>1</v>
      </c>
      <c r="E233" s="88">
        <v>350</v>
      </c>
      <c r="F233" s="132">
        <f t="shared" si="5"/>
        <v>350</v>
      </c>
      <c r="G233" s="139"/>
      <c r="H233" s="107"/>
    </row>
    <row r="234" spans="2:8" ht="31.5" x14ac:dyDescent="0.25">
      <c r="B234" s="65" t="s">
        <v>243</v>
      </c>
      <c r="C234" s="82" t="s">
        <v>114</v>
      </c>
      <c r="D234" s="83">
        <v>1</v>
      </c>
      <c r="E234" s="88">
        <v>1400</v>
      </c>
      <c r="F234" s="132">
        <f t="shared" si="5"/>
        <v>1400</v>
      </c>
      <c r="G234" s="139"/>
      <c r="H234" s="107"/>
    </row>
    <row r="235" spans="2:8" ht="31.5" x14ac:dyDescent="0.25">
      <c r="B235" s="65" t="s">
        <v>244</v>
      </c>
      <c r="C235" s="82" t="s">
        <v>114</v>
      </c>
      <c r="D235" s="83">
        <v>1</v>
      </c>
      <c r="E235" s="88">
        <v>850</v>
      </c>
      <c r="F235" s="132">
        <f t="shared" si="5"/>
        <v>850</v>
      </c>
      <c r="G235" s="139"/>
      <c r="H235" s="107"/>
    </row>
    <row r="236" spans="2:8" ht="63" x14ac:dyDescent="0.25">
      <c r="B236" s="65" t="s">
        <v>245</v>
      </c>
      <c r="C236" s="82" t="s">
        <v>114</v>
      </c>
      <c r="D236" s="83">
        <v>1</v>
      </c>
      <c r="E236" s="88">
        <v>1600</v>
      </c>
      <c r="F236" s="132">
        <f t="shared" si="5"/>
        <v>1600</v>
      </c>
      <c r="G236" s="139"/>
      <c r="H236" s="107"/>
    </row>
    <row r="237" spans="2:8" ht="31.5" x14ac:dyDescent="0.25">
      <c r="B237" s="65" t="s">
        <v>246</v>
      </c>
      <c r="C237" s="82" t="s">
        <v>114</v>
      </c>
      <c r="D237" s="83">
        <v>1</v>
      </c>
      <c r="E237" s="88">
        <v>2080</v>
      </c>
      <c r="F237" s="132">
        <f t="shared" si="5"/>
        <v>2080</v>
      </c>
      <c r="G237" s="139"/>
      <c r="H237" s="107"/>
    </row>
    <row r="238" spans="2:8" ht="47.25" x14ac:dyDescent="0.25">
      <c r="B238" s="65" t="s">
        <v>247</v>
      </c>
      <c r="C238" s="82" t="s">
        <v>114</v>
      </c>
      <c r="D238" s="83">
        <v>1</v>
      </c>
      <c r="E238" s="88">
        <v>600</v>
      </c>
      <c r="F238" s="132">
        <f t="shared" si="5"/>
        <v>600</v>
      </c>
      <c r="G238" s="139"/>
      <c r="H238" s="107"/>
    </row>
    <row r="239" spans="2:8" ht="47.25" x14ac:dyDescent="0.25">
      <c r="B239" s="65" t="s">
        <v>248</v>
      </c>
      <c r="C239" s="82" t="s">
        <v>114</v>
      </c>
      <c r="D239" s="83">
        <v>1</v>
      </c>
      <c r="E239" s="88">
        <v>1500</v>
      </c>
      <c r="F239" s="132">
        <f t="shared" si="5"/>
        <v>1500</v>
      </c>
      <c r="G239" s="139"/>
      <c r="H239" s="107"/>
    </row>
    <row r="240" spans="2:8" ht="47.25" x14ac:dyDescent="0.25">
      <c r="B240" s="65" t="s">
        <v>249</v>
      </c>
      <c r="C240" s="82" t="s">
        <v>114</v>
      </c>
      <c r="D240" s="83">
        <v>1</v>
      </c>
      <c r="E240" s="88">
        <v>850</v>
      </c>
      <c r="F240" s="132">
        <f t="shared" si="5"/>
        <v>850</v>
      </c>
      <c r="G240" s="139"/>
      <c r="H240" s="107"/>
    </row>
    <row r="241" spans="2:8" ht="31.5" x14ac:dyDescent="0.25">
      <c r="B241" s="65" t="s">
        <v>250</v>
      </c>
      <c r="C241" s="82" t="s">
        <v>114</v>
      </c>
      <c r="D241" s="83">
        <v>3</v>
      </c>
      <c r="E241" s="88">
        <v>500</v>
      </c>
      <c r="F241" s="132">
        <f t="shared" si="5"/>
        <v>1500</v>
      </c>
      <c r="G241" s="139"/>
      <c r="H241" s="107"/>
    </row>
    <row r="242" spans="2:8" ht="47.25" x14ac:dyDescent="0.25">
      <c r="B242" s="65" t="s">
        <v>251</v>
      </c>
      <c r="C242" s="82" t="s">
        <v>114</v>
      </c>
      <c r="D242" s="83">
        <v>2</v>
      </c>
      <c r="E242" s="88">
        <v>400</v>
      </c>
      <c r="F242" s="132">
        <f t="shared" si="5"/>
        <v>800</v>
      </c>
      <c r="G242" s="139"/>
      <c r="H242" s="107"/>
    </row>
    <row r="243" spans="2:8" ht="31.5" x14ac:dyDescent="0.25">
      <c r="B243" s="65" t="s">
        <v>252</v>
      </c>
      <c r="C243" s="82" t="s">
        <v>114</v>
      </c>
      <c r="D243" s="83">
        <v>1</v>
      </c>
      <c r="E243" s="88">
        <v>500</v>
      </c>
      <c r="F243" s="132">
        <f t="shared" si="5"/>
        <v>500</v>
      </c>
      <c r="G243" s="139"/>
      <c r="H243" s="107"/>
    </row>
    <row r="244" spans="2:8" ht="31.5" x14ac:dyDescent="0.25">
      <c r="B244" s="65" t="s">
        <v>243</v>
      </c>
      <c r="C244" s="82" t="s">
        <v>114</v>
      </c>
      <c r="D244" s="83">
        <v>1</v>
      </c>
      <c r="E244" s="88">
        <v>1400</v>
      </c>
      <c r="F244" s="132">
        <f t="shared" si="5"/>
        <v>1400</v>
      </c>
      <c r="G244" s="139"/>
      <c r="H244" s="107"/>
    </row>
    <row r="245" spans="2:8" ht="47.25" x14ac:dyDescent="0.25">
      <c r="B245" s="65" t="s">
        <v>248</v>
      </c>
      <c r="C245" s="82" t="s">
        <v>114</v>
      </c>
      <c r="D245" s="83">
        <v>1</v>
      </c>
      <c r="E245" s="88">
        <v>1500</v>
      </c>
      <c r="F245" s="132">
        <f t="shared" si="5"/>
        <v>1500</v>
      </c>
      <c r="G245" s="139"/>
      <c r="H245" s="107"/>
    </row>
    <row r="246" spans="2:8" ht="47.25" x14ac:dyDescent="0.25">
      <c r="B246" s="65" t="s">
        <v>253</v>
      </c>
      <c r="C246" s="82" t="s">
        <v>114</v>
      </c>
      <c r="D246" s="83">
        <v>2</v>
      </c>
      <c r="E246" s="88">
        <v>700</v>
      </c>
      <c r="F246" s="132">
        <f t="shared" si="5"/>
        <v>1400</v>
      </c>
      <c r="G246" s="139"/>
      <c r="H246" s="107"/>
    </row>
    <row r="247" spans="2:8" ht="31.5" x14ac:dyDescent="0.25">
      <c r="B247" s="65" t="s">
        <v>254</v>
      </c>
      <c r="C247" s="82" t="s">
        <v>114</v>
      </c>
      <c r="D247" s="83">
        <v>3</v>
      </c>
      <c r="E247" s="88">
        <v>400</v>
      </c>
      <c r="F247" s="132">
        <f t="shared" si="5"/>
        <v>1200</v>
      </c>
      <c r="G247" s="139"/>
      <c r="H247" s="107"/>
    </row>
    <row r="248" spans="2:8" ht="15.75" x14ac:dyDescent="0.25">
      <c r="B248" s="65" t="s">
        <v>255</v>
      </c>
      <c r="C248" s="82" t="s">
        <v>114</v>
      </c>
      <c r="D248" s="83">
        <v>1</v>
      </c>
      <c r="E248" s="88">
        <v>1300</v>
      </c>
      <c r="F248" s="132">
        <f t="shared" si="5"/>
        <v>1300</v>
      </c>
      <c r="G248" s="139"/>
      <c r="H248" s="107"/>
    </row>
    <row r="249" spans="2:8" ht="31.5" x14ac:dyDescent="0.25">
      <c r="B249" s="65" t="s">
        <v>240</v>
      </c>
      <c r="C249" s="82" t="s">
        <v>114</v>
      </c>
      <c r="D249" s="83">
        <v>1</v>
      </c>
      <c r="E249" s="88">
        <v>450</v>
      </c>
      <c r="F249" s="132">
        <f t="shared" si="5"/>
        <v>450</v>
      </c>
      <c r="G249" s="139"/>
      <c r="H249" s="107"/>
    </row>
    <row r="250" spans="2:8" ht="31.5" x14ac:dyDescent="0.25">
      <c r="B250" s="65" t="s">
        <v>256</v>
      </c>
      <c r="C250" s="82" t="s">
        <v>114</v>
      </c>
      <c r="D250" s="83">
        <v>1</v>
      </c>
      <c r="E250" s="88">
        <v>1450</v>
      </c>
      <c r="F250" s="132">
        <f t="shared" si="5"/>
        <v>1450</v>
      </c>
      <c r="G250" s="139"/>
      <c r="H250" s="107"/>
    </row>
    <row r="251" spans="2:8" ht="63" x14ac:dyDescent="0.25">
      <c r="B251" s="65" t="s">
        <v>242</v>
      </c>
      <c r="C251" s="82" t="s">
        <v>114</v>
      </c>
      <c r="D251" s="83">
        <v>1</v>
      </c>
      <c r="E251" s="88">
        <v>450</v>
      </c>
      <c r="F251" s="132">
        <f t="shared" si="5"/>
        <v>450</v>
      </c>
      <c r="G251" s="139"/>
      <c r="H251" s="107"/>
    </row>
    <row r="252" spans="2:8" ht="31.5" x14ac:dyDescent="0.25">
      <c r="B252" s="65" t="s">
        <v>257</v>
      </c>
      <c r="C252" s="82" t="s">
        <v>114</v>
      </c>
      <c r="D252" s="83">
        <v>1</v>
      </c>
      <c r="E252" s="88">
        <v>450</v>
      </c>
      <c r="F252" s="132">
        <f t="shared" si="5"/>
        <v>450</v>
      </c>
      <c r="G252" s="139"/>
      <c r="H252" s="107"/>
    </row>
    <row r="253" spans="2:8" ht="31.5" x14ac:dyDescent="0.25">
      <c r="B253" s="65" t="s">
        <v>258</v>
      </c>
      <c r="C253" s="82" t="s">
        <v>114</v>
      </c>
      <c r="D253" s="83">
        <v>1</v>
      </c>
      <c r="E253" s="88">
        <v>500</v>
      </c>
      <c r="F253" s="132">
        <f t="shared" si="5"/>
        <v>500</v>
      </c>
      <c r="G253" s="139"/>
      <c r="H253" s="107"/>
    </row>
    <row r="254" spans="2:8" ht="15.75" x14ac:dyDescent="0.25">
      <c r="B254" s="65" t="s">
        <v>259</v>
      </c>
      <c r="C254" s="82" t="s">
        <v>114</v>
      </c>
      <c r="D254" s="83">
        <v>2</v>
      </c>
      <c r="E254" s="88">
        <v>450</v>
      </c>
      <c r="F254" s="132">
        <f t="shared" si="5"/>
        <v>900</v>
      </c>
      <c r="G254" s="139"/>
      <c r="H254" s="107"/>
    </row>
    <row r="255" spans="2:8" ht="31.5" x14ac:dyDescent="0.25">
      <c r="B255" s="65" t="s">
        <v>260</v>
      </c>
      <c r="C255" s="82" t="s">
        <v>114</v>
      </c>
      <c r="D255" s="83">
        <v>1</v>
      </c>
      <c r="E255" s="88">
        <v>1400</v>
      </c>
      <c r="F255" s="132">
        <f t="shared" si="5"/>
        <v>1400</v>
      </c>
      <c r="G255" s="139"/>
      <c r="H255" s="107"/>
    </row>
    <row r="256" spans="2:8" ht="31.5" x14ac:dyDescent="0.25">
      <c r="B256" s="65" t="s">
        <v>261</v>
      </c>
      <c r="C256" s="82" t="s">
        <v>114</v>
      </c>
      <c r="D256" s="83">
        <v>1</v>
      </c>
      <c r="E256" s="88">
        <v>750</v>
      </c>
      <c r="F256" s="132">
        <f t="shared" si="5"/>
        <v>750</v>
      </c>
      <c r="G256" s="139"/>
      <c r="H256" s="107"/>
    </row>
    <row r="257" spans="2:8" ht="15.75" x14ac:dyDescent="0.25">
      <c r="B257" s="65" t="s">
        <v>262</v>
      </c>
      <c r="C257" s="82" t="s">
        <v>114</v>
      </c>
      <c r="D257" s="83">
        <v>2</v>
      </c>
      <c r="E257" s="88">
        <v>1600</v>
      </c>
      <c r="F257" s="132">
        <f t="shared" si="5"/>
        <v>3200</v>
      </c>
      <c r="G257" s="139"/>
      <c r="H257" s="107"/>
    </row>
    <row r="258" spans="2:8" ht="15.75" x14ac:dyDescent="0.25">
      <c r="B258" s="65" t="s">
        <v>263</v>
      </c>
      <c r="C258" s="82" t="s">
        <v>114</v>
      </c>
      <c r="D258" s="83">
        <v>1</v>
      </c>
      <c r="E258" s="88">
        <v>300</v>
      </c>
      <c r="F258" s="132">
        <f t="shared" si="5"/>
        <v>300</v>
      </c>
      <c r="G258" s="139"/>
      <c r="H258" s="107"/>
    </row>
    <row r="259" spans="2:8" ht="15.75" x14ac:dyDescent="0.25">
      <c r="B259" s="65" t="s">
        <v>264</v>
      </c>
      <c r="C259" s="82" t="s">
        <v>114</v>
      </c>
      <c r="D259" s="83">
        <v>1</v>
      </c>
      <c r="E259" s="88">
        <v>6500</v>
      </c>
      <c r="F259" s="132">
        <f t="shared" si="5"/>
        <v>6500</v>
      </c>
      <c r="G259" s="139"/>
      <c r="H259" s="107"/>
    </row>
    <row r="260" spans="2:8" ht="31.5" x14ac:dyDescent="0.25">
      <c r="B260" s="65" t="s">
        <v>265</v>
      </c>
      <c r="C260" s="82" t="s">
        <v>114</v>
      </c>
      <c r="D260" s="83">
        <v>1</v>
      </c>
      <c r="E260" s="88">
        <v>500</v>
      </c>
      <c r="F260" s="132">
        <f t="shared" si="5"/>
        <v>500</v>
      </c>
      <c r="G260" s="139"/>
      <c r="H260" s="107"/>
    </row>
    <row r="261" spans="2:8" ht="15.75" x14ac:dyDescent="0.25">
      <c r="B261" s="65" t="s">
        <v>266</v>
      </c>
      <c r="C261" s="82" t="s">
        <v>114</v>
      </c>
      <c r="D261" s="83">
        <v>1</v>
      </c>
      <c r="E261" s="88">
        <v>450</v>
      </c>
      <c r="F261" s="132">
        <f t="shared" si="5"/>
        <v>450</v>
      </c>
      <c r="G261" s="139"/>
      <c r="H261" s="107"/>
    </row>
    <row r="262" spans="2:8" ht="15.75" x14ac:dyDescent="0.25">
      <c r="B262" s="65" t="s">
        <v>267</v>
      </c>
      <c r="C262" s="82" t="s">
        <v>114</v>
      </c>
      <c r="D262" s="83">
        <v>3</v>
      </c>
      <c r="E262" s="88">
        <v>400</v>
      </c>
      <c r="F262" s="132">
        <f t="shared" si="5"/>
        <v>1200</v>
      </c>
      <c r="G262" s="139"/>
      <c r="H262" s="107"/>
    </row>
    <row r="263" spans="2:8" ht="15.75" x14ac:dyDescent="0.25">
      <c r="B263" s="65" t="s">
        <v>264</v>
      </c>
      <c r="C263" s="82" t="s">
        <v>114</v>
      </c>
      <c r="D263" s="83">
        <v>1</v>
      </c>
      <c r="E263" s="88">
        <f>6350-2306.34-297</f>
        <v>3746.66</v>
      </c>
      <c r="F263" s="132">
        <f t="shared" si="5"/>
        <v>3746.66</v>
      </c>
      <c r="G263" s="139"/>
      <c r="H263" s="107"/>
    </row>
    <row r="264" spans="2:8" ht="15.75" x14ac:dyDescent="0.25">
      <c r="B264" s="65" t="s">
        <v>268</v>
      </c>
      <c r="C264" s="82" t="s">
        <v>114</v>
      </c>
      <c r="D264" s="83">
        <v>1</v>
      </c>
      <c r="E264" s="88">
        <v>2000</v>
      </c>
      <c r="F264" s="132">
        <f t="shared" si="5"/>
        <v>2000</v>
      </c>
      <c r="G264" s="139"/>
      <c r="H264" s="107"/>
    </row>
    <row r="265" spans="2:8" ht="15.75" x14ac:dyDescent="0.25">
      <c r="B265" s="65" t="s">
        <v>269</v>
      </c>
      <c r="C265" s="82" t="s">
        <v>114</v>
      </c>
      <c r="D265" s="83">
        <v>1</v>
      </c>
      <c r="E265" s="88">
        <v>650</v>
      </c>
      <c r="F265" s="132">
        <f t="shared" si="5"/>
        <v>650</v>
      </c>
      <c r="G265" s="139"/>
      <c r="H265" s="107"/>
    </row>
    <row r="266" spans="2:8" ht="31.5" x14ac:dyDescent="0.25">
      <c r="B266" s="65" t="s">
        <v>270</v>
      </c>
      <c r="C266" s="82" t="s">
        <v>114</v>
      </c>
      <c r="D266" s="83">
        <v>1</v>
      </c>
      <c r="E266" s="88">
        <v>1450</v>
      </c>
      <c r="F266" s="132">
        <f t="shared" si="5"/>
        <v>1450</v>
      </c>
      <c r="G266" s="139"/>
      <c r="H266" s="107"/>
    </row>
    <row r="267" spans="2:8" ht="31.5" x14ac:dyDescent="0.25">
      <c r="B267" s="65" t="s">
        <v>271</v>
      </c>
      <c r="C267" s="82" t="s">
        <v>114</v>
      </c>
      <c r="D267" s="83">
        <v>1</v>
      </c>
      <c r="E267" s="88">
        <v>1400</v>
      </c>
      <c r="F267" s="132">
        <f t="shared" si="5"/>
        <v>1400</v>
      </c>
      <c r="G267" s="139"/>
      <c r="H267" s="107"/>
    </row>
    <row r="268" spans="2:8" ht="15.75" x14ac:dyDescent="0.25">
      <c r="B268" s="179"/>
      <c r="C268" s="103"/>
      <c r="D268" s="158"/>
      <c r="E268" s="180"/>
      <c r="F268" s="126"/>
      <c r="G268" s="105"/>
    </row>
    <row r="269" spans="2:8" ht="15.95" customHeight="1" x14ac:dyDescent="0.25">
      <c r="B269" s="327" t="s">
        <v>158</v>
      </c>
      <c r="C269" s="327"/>
      <c r="D269" s="115"/>
      <c r="E269" s="115"/>
      <c r="F269" s="202">
        <f>SUM(F231:F268)</f>
        <v>47626.66</v>
      </c>
      <c r="G269" s="181"/>
    </row>
    <row r="270" spans="2:8" x14ac:dyDescent="0.25">
      <c r="F270" s="233"/>
    </row>
    <row r="271" spans="2:8" ht="15.95" customHeight="1" x14ac:dyDescent="0.25">
      <c r="B271" s="326" t="s">
        <v>112</v>
      </c>
      <c r="C271" s="326"/>
      <c r="D271" s="55"/>
      <c r="E271" s="136"/>
      <c r="F271" s="226"/>
      <c r="G271" s="137"/>
    </row>
    <row r="272" spans="2:8" ht="63" x14ac:dyDescent="0.25">
      <c r="B272" s="65" t="s">
        <v>272</v>
      </c>
      <c r="C272" s="82"/>
      <c r="D272" s="83"/>
      <c r="E272" s="138"/>
      <c r="F272" s="132"/>
      <c r="G272" s="85"/>
    </row>
    <row r="273" spans="2:8" ht="15.75" x14ac:dyDescent="0.25">
      <c r="B273" s="64" t="s">
        <v>273</v>
      </c>
      <c r="C273" s="82" t="s">
        <v>274</v>
      </c>
      <c r="D273" s="83">
        <v>2</v>
      </c>
      <c r="E273" s="138">
        <v>4594.66</v>
      </c>
      <c r="F273" s="224">
        <f>E273*D273</f>
        <v>9189.32</v>
      </c>
      <c r="G273" s="139"/>
      <c r="H273" s="140"/>
    </row>
    <row r="274" spans="2:8" ht="15.75" x14ac:dyDescent="0.25">
      <c r="B274" s="64" t="s">
        <v>275</v>
      </c>
      <c r="C274" s="82" t="s">
        <v>274</v>
      </c>
      <c r="D274" s="83">
        <v>2</v>
      </c>
      <c r="E274" s="138">
        <v>1307.9000000000001</v>
      </c>
      <c r="F274" s="224">
        <f>E274*D274</f>
        <v>2615.8000000000002</v>
      </c>
      <c r="G274" s="139"/>
      <c r="H274" s="140"/>
    </row>
    <row r="275" spans="2:8" ht="15.75" x14ac:dyDescent="0.25">
      <c r="B275" s="64" t="s">
        <v>276</v>
      </c>
      <c r="C275" s="82" t="s">
        <v>274</v>
      </c>
      <c r="D275" s="83">
        <v>2</v>
      </c>
      <c r="E275" s="138">
        <v>995.25</v>
      </c>
      <c r="F275" s="224">
        <f>E275*D275</f>
        <v>1990.5</v>
      </c>
      <c r="G275" s="139"/>
      <c r="H275" s="140"/>
    </row>
    <row r="276" spans="2:8" ht="15.75" x14ac:dyDescent="0.25">
      <c r="B276" s="64" t="s">
        <v>277</v>
      </c>
      <c r="C276" s="82" t="s">
        <v>274</v>
      </c>
      <c r="D276" s="83">
        <v>2</v>
      </c>
      <c r="E276" s="138">
        <v>2714.28</v>
      </c>
      <c r="F276" s="224">
        <f>E276*D276</f>
        <v>5428.56</v>
      </c>
      <c r="G276" s="139"/>
      <c r="H276" s="140"/>
    </row>
    <row r="277" spans="2:8" ht="15.75" x14ac:dyDescent="0.25">
      <c r="B277" s="65" t="s">
        <v>278</v>
      </c>
      <c r="C277" s="82" t="s">
        <v>274</v>
      </c>
      <c r="D277" s="83">
        <v>2</v>
      </c>
      <c r="E277" s="138">
        <v>7241.55</v>
      </c>
      <c r="F277" s="224">
        <f>E277*D277+0.34-1</f>
        <v>14482.44</v>
      </c>
      <c r="G277" s="139"/>
      <c r="H277" s="140"/>
    </row>
    <row r="278" spans="2:8" ht="15.75" x14ac:dyDescent="0.25">
      <c r="B278" s="65" t="s">
        <v>279</v>
      </c>
      <c r="C278" s="82" t="s">
        <v>274</v>
      </c>
      <c r="D278" s="83">
        <v>2</v>
      </c>
      <c r="E278" s="138">
        <v>4926.84</v>
      </c>
      <c r="F278" s="224">
        <f>E278*D278</f>
        <v>9853.68</v>
      </c>
      <c r="G278" s="139"/>
      <c r="H278" s="140"/>
    </row>
    <row r="279" spans="2:8" ht="13.15" customHeight="1" x14ac:dyDescent="0.25">
      <c r="B279" s="163" t="s">
        <v>104</v>
      </c>
      <c r="C279" s="82"/>
      <c r="D279" s="83"/>
      <c r="E279" s="138"/>
      <c r="F279" s="227">
        <f>F273+F274+F275+F276+F277+F278</f>
        <v>43560.3</v>
      </c>
      <c r="G279" s="144"/>
    </row>
    <row r="280" spans="2:8" ht="1.5" hidden="1" customHeight="1" x14ac:dyDescent="0.25"/>
    <row r="281" spans="2:8" ht="31.5" hidden="1" x14ac:dyDescent="0.25">
      <c r="B281" s="55" t="s">
        <v>107</v>
      </c>
      <c r="C281" s="55" t="s">
        <v>170</v>
      </c>
      <c r="D281" s="55" t="s">
        <v>127</v>
      </c>
      <c r="E281" s="55" t="s">
        <v>128</v>
      </c>
      <c r="F281" s="55" t="s">
        <v>229</v>
      </c>
      <c r="G281" s="135"/>
    </row>
    <row r="282" spans="2:8" ht="15.75" hidden="1" x14ac:dyDescent="0.25">
      <c r="B282" s="82">
        <v>1</v>
      </c>
      <c r="C282" s="55">
        <v>2</v>
      </c>
      <c r="D282" s="55">
        <v>3</v>
      </c>
      <c r="E282" s="136">
        <v>4</v>
      </c>
      <c r="F282" s="136">
        <v>5</v>
      </c>
      <c r="G282" s="178"/>
    </row>
    <row r="283" spans="2:8" ht="15.6" hidden="1" customHeight="1" x14ac:dyDescent="0.25">
      <c r="B283" s="326"/>
      <c r="C283" s="326"/>
      <c r="D283" s="55"/>
      <c r="E283" s="136"/>
      <c r="F283" s="136"/>
      <c r="G283" s="178"/>
    </row>
    <row r="284" spans="2:8" ht="15.75" hidden="1" x14ac:dyDescent="0.25">
      <c r="B284" s="64"/>
      <c r="C284" s="82"/>
      <c r="D284" s="83"/>
      <c r="E284" s="138"/>
      <c r="F284" s="83"/>
      <c r="G284" s="139"/>
    </row>
    <row r="285" spans="2:8" ht="15.75" hidden="1" x14ac:dyDescent="0.25">
      <c r="B285" s="64"/>
      <c r="C285" s="82"/>
      <c r="D285" s="83"/>
      <c r="E285" s="138"/>
      <c r="F285" s="83"/>
      <c r="G285" s="139"/>
    </row>
    <row r="286" spans="2:8" ht="15.75" hidden="1" x14ac:dyDescent="0.25">
      <c r="B286" s="64"/>
      <c r="C286" s="82"/>
      <c r="D286" s="83"/>
      <c r="E286" s="138"/>
      <c r="F286" s="132"/>
      <c r="G286" s="139"/>
      <c r="H286" s="140"/>
    </row>
    <row r="287" spans="2:8" ht="15.75" hidden="1" x14ac:dyDescent="0.25">
      <c r="B287" s="64"/>
      <c r="C287" s="82"/>
      <c r="D287" s="83"/>
      <c r="E287" s="138"/>
      <c r="F287" s="132"/>
      <c r="G287" s="139"/>
      <c r="H287" s="140"/>
    </row>
    <row r="288" spans="2:8" hidden="1" x14ac:dyDescent="0.25">
      <c r="B288" s="329"/>
      <c r="C288" s="329"/>
      <c r="D288" s="57"/>
      <c r="E288" s="57"/>
      <c r="F288" s="63"/>
      <c r="G288" s="69"/>
    </row>
    <row r="289" spans="2:8" ht="15.6" hidden="1" customHeight="1" x14ac:dyDescent="0.25">
      <c r="B289" s="326"/>
      <c r="C289" s="326"/>
      <c r="D289" s="103"/>
      <c r="E289" s="103"/>
      <c r="F289" s="104"/>
      <c r="G289" s="105"/>
    </row>
    <row r="290" spans="2:8" ht="15.75" hidden="1" x14ac:dyDescent="0.25">
      <c r="B290" s="108"/>
      <c r="C290" s="82"/>
      <c r="D290" s="83"/>
      <c r="E290" s="88"/>
      <c r="F290" s="86"/>
      <c r="G290" s="139"/>
      <c r="H290" s="107"/>
    </row>
    <row r="291" spans="2:8" ht="15.75" hidden="1" x14ac:dyDescent="0.25">
      <c r="B291" s="109"/>
      <c r="C291" s="103"/>
      <c r="D291" s="158"/>
      <c r="E291" s="111"/>
      <c r="F291" s="126"/>
      <c r="G291" s="194"/>
      <c r="H291" s="113"/>
    </row>
    <row r="292" spans="2:8" ht="15.6" hidden="1" customHeight="1" x14ac:dyDescent="0.25">
      <c r="B292" s="327"/>
      <c r="C292" s="327"/>
      <c r="D292" s="115"/>
      <c r="E292" s="115"/>
      <c r="F292" s="134"/>
      <c r="G292" s="181"/>
    </row>
    <row r="293" spans="2:8" ht="15.6" hidden="1" customHeight="1" x14ac:dyDescent="0.25">
      <c r="B293" s="327"/>
      <c r="C293" s="327"/>
      <c r="D293" s="115"/>
      <c r="E293" s="115"/>
      <c r="F293" s="134"/>
      <c r="G293" s="181"/>
    </row>
    <row r="295" spans="2:8" ht="15" customHeight="1" x14ac:dyDescent="0.25">
      <c r="B295" s="326" t="s">
        <v>112</v>
      </c>
      <c r="C295" s="326"/>
      <c r="D295" s="71"/>
      <c r="E295" s="70"/>
      <c r="F295" s="71"/>
      <c r="G295" s="72"/>
    </row>
    <row r="296" spans="2:8" ht="15.75" x14ac:dyDescent="0.25">
      <c r="B296" s="73" t="s">
        <v>280</v>
      </c>
      <c r="C296" s="74" t="s">
        <v>114</v>
      </c>
      <c r="D296" s="182">
        <f>60+144+12+60</f>
        <v>276</v>
      </c>
      <c r="E296" s="76">
        <v>15.34</v>
      </c>
      <c r="F296" s="76">
        <f t="shared" ref="F296:F331" si="6">D296*E296</f>
        <v>4233.84</v>
      </c>
      <c r="G296" s="77"/>
    </row>
    <row r="297" spans="2:8" ht="15.75" x14ac:dyDescent="0.25">
      <c r="B297" s="73" t="s">
        <v>281</v>
      </c>
      <c r="C297" s="74" t="s">
        <v>282</v>
      </c>
      <c r="D297" s="183">
        <f>1+1</f>
        <v>2</v>
      </c>
      <c r="E297" s="76">
        <v>14.85</v>
      </c>
      <c r="F297" s="76">
        <f t="shared" si="6"/>
        <v>29.7</v>
      </c>
      <c r="G297" s="77"/>
    </row>
    <row r="298" spans="2:8" ht="15.75" x14ac:dyDescent="0.25">
      <c r="B298" s="73" t="s">
        <v>131</v>
      </c>
      <c r="C298" s="74" t="s">
        <v>114</v>
      </c>
      <c r="D298" s="183">
        <f>15+10+30+5+25</f>
        <v>85</v>
      </c>
      <c r="E298" s="76">
        <v>6.59</v>
      </c>
      <c r="F298" s="76">
        <f t="shared" si="6"/>
        <v>560.15</v>
      </c>
      <c r="G298" s="77"/>
    </row>
    <row r="299" spans="2:8" ht="15.75" x14ac:dyDescent="0.25">
      <c r="B299" s="73" t="s">
        <v>132</v>
      </c>
      <c r="C299" s="74" t="s">
        <v>114</v>
      </c>
      <c r="D299" s="183">
        <f>25</f>
        <v>25</v>
      </c>
      <c r="E299" s="76">
        <v>4.0999999999999996</v>
      </c>
      <c r="F299" s="76">
        <f t="shared" si="6"/>
        <v>102.49999999999999</v>
      </c>
      <c r="G299" s="77"/>
    </row>
    <row r="300" spans="2:8" ht="15.75" x14ac:dyDescent="0.25">
      <c r="B300" s="73" t="s">
        <v>133</v>
      </c>
      <c r="C300" s="74" t="s">
        <v>114</v>
      </c>
      <c r="D300" s="183">
        <f>3+30+5+25</f>
        <v>63</v>
      </c>
      <c r="E300" s="76">
        <v>7.43</v>
      </c>
      <c r="F300" s="76">
        <f t="shared" si="6"/>
        <v>468.09</v>
      </c>
      <c r="G300" s="77"/>
    </row>
    <row r="301" spans="2:8" ht="15.75" x14ac:dyDescent="0.25">
      <c r="B301" s="73" t="s">
        <v>134</v>
      </c>
      <c r="C301" s="74" t="s">
        <v>114</v>
      </c>
      <c r="D301" s="183">
        <f>12+2+1+5+5</f>
        <v>25</v>
      </c>
      <c r="E301" s="76">
        <v>54.29</v>
      </c>
      <c r="F301" s="76">
        <f t="shared" si="6"/>
        <v>1357.25</v>
      </c>
      <c r="G301" s="77"/>
    </row>
    <row r="302" spans="2:8" ht="15.75" x14ac:dyDescent="0.25">
      <c r="B302" s="73" t="s">
        <v>135</v>
      </c>
      <c r="C302" s="74" t="s">
        <v>114</v>
      </c>
      <c r="D302" s="183">
        <f>3+5</f>
        <v>8</v>
      </c>
      <c r="E302" s="76">
        <v>8.08</v>
      </c>
      <c r="F302" s="76">
        <f t="shared" si="6"/>
        <v>64.64</v>
      </c>
      <c r="G302" s="77"/>
    </row>
    <row r="303" spans="2:8" ht="15.75" x14ac:dyDescent="0.25">
      <c r="B303" s="73" t="s">
        <v>136</v>
      </c>
      <c r="C303" s="74" t="s">
        <v>114</v>
      </c>
      <c r="D303" s="183">
        <f>5</f>
        <v>5</v>
      </c>
      <c r="E303" s="76">
        <v>17.98</v>
      </c>
      <c r="F303" s="76">
        <f t="shared" si="6"/>
        <v>89.9</v>
      </c>
      <c r="G303" s="77"/>
    </row>
    <row r="304" spans="2:8" ht="15.75" x14ac:dyDescent="0.25">
      <c r="B304" s="73" t="s">
        <v>137</v>
      </c>
      <c r="C304" s="74" t="s">
        <v>114</v>
      </c>
      <c r="D304" s="183">
        <f>3</f>
        <v>3</v>
      </c>
      <c r="E304" s="76">
        <v>44.71</v>
      </c>
      <c r="F304" s="76">
        <f t="shared" si="6"/>
        <v>134.13</v>
      </c>
      <c r="G304" s="77"/>
    </row>
    <row r="305" spans="2:8" ht="15.75" x14ac:dyDescent="0.25">
      <c r="B305" s="73" t="s">
        <v>138</v>
      </c>
      <c r="C305" s="74" t="s">
        <v>114</v>
      </c>
      <c r="D305" s="183">
        <f>4+8+25</f>
        <v>37</v>
      </c>
      <c r="E305" s="76">
        <v>12.98</v>
      </c>
      <c r="F305" s="76">
        <f t="shared" si="6"/>
        <v>480.26</v>
      </c>
      <c r="G305" s="77"/>
    </row>
    <row r="306" spans="2:8" ht="15.75" x14ac:dyDescent="0.25">
      <c r="B306" s="73" t="s">
        <v>139</v>
      </c>
      <c r="C306" s="74" t="s">
        <v>114</v>
      </c>
      <c r="D306" s="183">
        <f>11+25</f>
        <v>36</v>
      </c>
      <c r="E306" s="76">
        <v>4.97</v>
      </c>
      <c r="F306" s="76">
        <f t="shared" si="6"/>
        <v>178.92</v>
      </c>
      <c r="G306" s="77"/>
    </row>
    <row r="307" spans="2:8" ht="15.75" x14ac:dyDescent="0.25">
      <c r="B307" s="73" t="s">
        <v>140</v>
      </c>
      <c r="C307" s="74" t="s">
        <v>114</v>
      </c>
      <c r="D307" s="183"/>
      <c r="E307" s="76">
        <v>73.25</v>
      </c>
      <c r="F307" s="76">
        <f t="shared" si="6"/>
        <v>0</v>
      </c>
      <c r="G307" s="77"/>
    </row>
    <row r="308" spans="2:8" ht="15.75" x14ac:dyDescent="0.25">
      <c r="B308" s="73" t="s">
        <v>141</v>
      </c>
      <c r="C308" s="74" t="s">
        <v>114</v>
      </c>
      <c r="D308" s="183"/>
      <c r="E308" s="76">
        <v>35.450000000000003</v>
      </c>
      <c r="F308" s="76">
        <f t="shared" si="6"/>
        <v>0</v>
      </c>
      <c r="G308" s="77"/>
    </row>
    <row r="309" spans="2:8" ht="15.75" x14ac:dyDescent="0.25">
      <c r="B309" s="73" t="s">
        <v>142</v>
      </c>
      <c r="C309" s="74" t="s">
        <v>114</v>
      </c>
      <c r="D309" s="183"/>
      <c r="E309" s="76">
        <v>56</v>
      </c>
      <c r="F309" s="76">
        <f t="shared" si="6"/>
        <v>0</v>
      </c>
      <c r="G309" s="77"/>
    </row>
    <row r="310" spans="2:8" ht="15.75" x14ac:dyDescent="0.25">
      <c r="B310" s="73" t="s">
        <v>143</v>
      </c>
      <c r="C310" s="74" t="s">
        <v>114</v>
      </c>
      <c r="D310" s="183">
        <f>3+15+15+25</f>
        <v>58</v>
      </c>
      <c r="E310" s="76">
        <v>32.619999999999997</v>
      </c>
      <c r="F310" s="76">
        <f t="shared" si="6"/>
        <v>1891.9599999999998</v>
      </c>
      <c r="G310" s="77"/>
    </row>
    <row r="311" spans="2:8" ht="15.75" x14ac:dyDescent="0.25">
      <c r="B311" s="73" t="s">
        <v>144</v>
      </c>
      <c r="C311" s="74" t="s">
        <v>114</v>
      </c>
      <c r="D311" s="183">
        <f>5</f>
        <v>5</v>
      </c>
      <c r="E311" s="76">
        <v>48.07</v>
      </c>
      <c r="F311" s="76">
        <f t="shared" si="6"/>
        <v>240.35</v>
      </c>
      <c r="G311" s="77"/>
    </row>
    <row r="312" spans="2:8" ht="15.75" x14ac:dyDescent="0.25">
      <c r="B312" s="73" t="s">
        <v>145</v>
      </c>
      <c r="C312" s="74" t="s">
        <v>114</v>
      </c>
      <c r="D312" s="183">
        <f>5+25</f>
        <v>30</v>
      </c>
      <c r="E312" s="76">
        <v>9.42</v>
      </c>
      <c r="F312" s="76">
        <f t="shared" si="6"/>
        <v>282.60000000000002</v>
      </c>
      <c r="G312" s="77"/>
    </row>
    <row r="313" spans="2:8" ht="15.75" x14ac:dyDescent="0.25">
      <c r="B313" s="73" t="s">
        <v>146</v>
      </c>
      <c r="C313" s="74" t="s">
        <v>114</v>
      </c>
      <c r="D313" s="183">
        <f>1+12+10+5</f>
        <v>28</v>
      </c>
      <c r="E313" s="76">
        <v>248.69</v>
      </c>
      <c r="F313" s="76">
        <f t="shared" si="6"/>
        <v>6963.32</v>
      </c>
      <c r="G313" s="77"/>
    </row>
    <row r="314" spans="2:8" ht="15.75" x14ac:dyDescent="0.25">
      <c r="B314" s="73" t="s">
        <v>283</v>
      </c>
      <c r="C314" s="74" t="s">
        <v>114</v>
      </c>
      <c r="D314" s="183">
        <f>2</f>
        <v>2</v>
      </c>
      <c r="E314" s="76">
        <v>50.17</v>
      </c>
      <c r="F314" s="76">
        <f t="shared" si="6"/>
        <v>100.34</v>
      </c>
      <c r="G314" s="77"/>
    </row>
    <row r="315" spans="2:8" ht="15.75" x14ac:dyDescent="0.25">
      <c r="B315" s="73" t="s">
        <v>284</v>
      </c>
      <c r="C315" s="74" t="s">
        <v>114</v>
      </c>
      <c r="D315" s="183">
        <f>5</f>
        <v>5</v>
      </c>
      <c r="E315" s="76">
        <v>24.97</v>
      </c>
      <c r="F315" s="76">
        <f t="shared" si="6"/>
        <v>124.85</v>
      </c>
      <c r="G315" s="77"/>
    </row>
    <row r="316" spans="2:8" ht="15.75" x14ac:dyDescent="0.25">
      <c r="B316" s="73" t="s">
        <v>285</v>
      </c>
      <c r="C316" s="74" t="s">
        <v>114</v>
      </c>
      <c r="D316" s="183">
        <v>3</v>
      </c>
      <c r="E316" s="76">
        <v>205.97</v>
      </c>
      <c r="F316" s="76">
        <f t="shared" si="6"/>
        <v>617.91</v>
      </c>
      <c r="G316" s="77"/>
      <c r="H316" s="78"/>
    </row>
    <row r="317" spans="2:8" ht="15.75" x14ac:dyDescent="0.25">
      <c r="B317" s="73" t="s">
        <v>147</v>
      </c>
      <c r="C317" s="74" t="s">
        <v>114</v>
      </c>
      <c r="D317" s="183">
        <f>10+1+2+5</f>
        <v>18</v>
      </c>
      <c r="E317" s="76">
        <v>122.5</v>
      </c>
      <c r="F317" s="76">
        <f t="shared" si="6"/>
        <v>2205</v>
      </c>
      <c r="G317" s="77"/>
    </row>
    <row r="318" spans="2:8" ht="15.75" x14ac:dyDescent="0.25">
      <c r="B318" s="73" t="s">
        <v>148</v>
      </c>
      <c r="C318" s="74" t="s">
        <v>114</v>
      </c>
      <c r="D318" s="183">
        <f>1+5+2+5</f>
        <v>13</v>
      </c>
      <c r="E318" s="76">
        <v>24.86</v>
      </c>
      <c r="F318" s="76">
        <f t="shared" si="6"/>
        <v>323.18</v>
      </c>
      <c r="G318" s="77"/>
    </row>
    <row r="319" spans="2:8" ht="15.75" x14ac:dyDescent="0.25">
      <c r="B319" s="73" t="s">
        <v>149</v>
      </c>
      <c r="C319" s="74" t="s">
        <v>150</v>
      </c>
      <c r="D319" s="183">
        <f>2+1+5</f>
        <v>8</v>
      </c>
      <c r="E319" s="76">
        <v>64.69</v>
      </c>
      <c r="F319" s="76">
        <f t="shared" si="6"/>
        <v>517.52</v>
      </c>
      <c r="G319" s="77"/>
    </row>
    <row r="320" spans="2:8" ht="15.75" x14ac:dyDescent="0.25">
      <c r="B320" s="73" t="s">
        <v>149</v>
      </c>
      <c r="C320" s="74" t="s">
        <v>150</v>
      </c>
      <c r="D320" s="183">
        <f>1+5</f>
        <v>6</v>
      </c>
      <c r="E320" s="76">
        <v>80.599999999999994</v>
      </c>
      <c r="F320" s="76">
        <f t="shared" si="6"/>
        <v>483.59999999999997</v>
      </c>
      <c r="G320" s="77"/>
    </row>
    <row r="321" spans="2:8" ht="15.75" x14ac:dyDescent="0.25">
      <c r="B321" s="73" t="s">
        <v>149</v>
      </c>
      <c r="C321" s="74" t="s">
        <v>150</v>
      </c>
      <c r="D321" s="183">
        <f>1+2+1+5+5</f>
        <v>14</v>
      </c>
      <c r="E321" s="76">
        <v>162.02000000000001</v>
      </c>
      <c r="F321" s="76">
        <f t="shared" si="6"/>
        <v>2268.2800000000002</v>
      </c>
      <c r="G321" s="77"/>
    </row>
    <row r="322" spans="2:8" ht="15.75" x14ac:dyDescent="0.25">
      <c r="B322" s="73" t="s">
        <v>286</v>
      </c>
      <c r="C322" s="74" t="s">
        <v>114</v>
      </c>
      <c r="D322" s="183">
        <f>2+1+2</f>
        <v>5</v>
      </c>
      <c r="E322" s="76">
        <v>115.41</v>
      </c>
      <c r="F322" s="76">
        <f t="shared" si="6"/>
        <v>577.04999999999995</v>
      </c>
      <c r="G322" s="77"/>
    </row>
    <row r="323" spans="2:8" ht="15.75" x14ac:dyDescent="0.25">
      <c r="B323" s="73" t="s">
        <v>287</v>
      </c>
      <c r="C323" s="74" t="s">
        <v>114</v>
      </c>
      <c r="D323" s="183">
        <f>3</f>
        <v>3</v>
      </c>
      <c r="E323" s="76">
        <v>61.83</v>
      </c>
      <c r="F323" s="76">
        <f t="shared" si="6"/>
        <v>185.49</v>
      </c>
      <c r="G323" s="77"/>
    </row>
    <row r="324" spans="2:8" ht="15.75" x14ac:dyDescent="0.25">
      <c r="B324" s="73" t="s">
        <v>151</v>
      </c>
      <c r="C324" s="74" t="s">
        <v>114</v>
      </c>
      <c r="D324" s="183"/>
      <c r="E324" s="76">
        <v>101.81</v>
      </c>
      <c r="F324" s="76">
        <f t="shared" si="6"/>
        <v>0</v>
      </c>
      <c r="G324" s="77"/>
    </row>
    <row r="325" spans="2:8" ht="15.75" x14ac:dyDescent="0.25">
      <c r="B325" s="73" t="s">
        <v>288</v>
      </c>
      <c r="C325" s="74" t="s">
        <v>150</v>
      </c>
      <c r="D325" s="183">
        <f>5</f>
        <v>5</v>
      </c>
      <c r="E325" s="76">
        <v>16.170000000000002</v>
      </c>
      <c r="F325" s="76">
        <f t="shared" si="6"/>
        <v>80.850000000000009</v>
      </c>
      <c r="G325" s="77"/>
    </row>
    <row r="326" spans="2:8" ht="15.75" x14ac:dyDescent="0.25">
      <c r="B326" s="73" t="s">
        <v>152</v>
      </c>
      <c r="C326" s="74" t="s">
        <v>150</v>
      </c>
      <c r="D326" s="183"/>
      <c r="E326" s="76">
        <v>74.02</v>
      </c>
      <c r="F326" s="76">
        <f t="shared" si="6"/>
        <v>0</v>
      </c>
      <c r="G326" s="77"/>
    </row>
    <row r="327" spans="2:8" ht="15.75" x14ac:dyDescent="0.25">
      <c r="B327" s="73" t="s">
        <v>153</v>
      </c>
      <c r="C327" s="74" t="s">
        <v>150</v>
      </c>
      <c r="D327" s="183"/>
      <c r="E327" s="76">
        <v>21.35</v>
      </c>
      <c r="F327" s="76">
        <f t="shared" si="6"/>
        <v>0</v>
      </c>
      <c r="G327" s="77"/>
    </row>
    <row r="328" spans="2:8" ht="15.75" x14ac:dyDescent="0.25">
      <c r="B328" s="73" t="s">
        <v>154</v>
      </c>
      <c r="C328" s="74" t="s">
        <v>150</v>
      </c>
      <c r="D328" s="183"/>
      <c r="E328" s="76">
        <v>188.91</v>
      </c>
      <c r="F328" s="76">
        <f t="shared" si="6"/>
        <v>0</v>
      </c>
      <c r="G328" s="77"/>
    </row>
    <row r="329" spans="2:8" ht="15.75" x14ac:dyDescent="0.25">
      <c r="B329" s="184" t="s">
        <v>289</v>
      </c>
      <c r="C329" s="74" t="s">
        <v>150</v>
      </c>
      <c r="D329" s="183">
        <v>50</v>
      </c>
      <c r="E329" s="76">
        <v>182.48</v>
      </c>
      <c r="F329" s="76">
        <f t="shared" si="6"/>
        <v>9124</v>
      </c>
      <c r="G329" s="77"/>
      <c r="H329" s="78"/>
    </row>
    <row r="330" spans="2:8" ht="15.75" x14ac:dyDescent="0.25">
      <c r="B330" s="184" t="s">
        <v>290</v>
      </c>
      <c r="C330" s="74" t="s">
        <v>150</v>
      </c>
      <c r="D330" s="183">
        <f>50</f>
        <v>50</v>
      </c>
      <c r="E330" s="76">
        <v>228.84</v>
      </c>
      <c r="F330" s="76">
        <f t="shared" si="6"/>
        <v>11442</v>
      </c>
      <c r="G330" s="77"/>
    </row>
    <row r="331" spans="2:8" ht="15.75" x14ac:dyDescent="0.25">
      <c r="B331" s="73" t="s">
        <v>155</v>
      </c>
      <c r="C331" s="74" t="s">
        <v>114</v>
      </c>
      <c r="D331" s="183">
        <f>36+24+24+53+19</f>
        <v>156</v>
      </c>
      <c r="E331" s="76">
        <v>322.49</v>
      </c>
      <c r="F331" s="76">
        <f t="shared" si="6"/>
        <v>50308.44</v>
      </c>
      <c r="G331" s="77"/>
    </row>
    <row r="332" spans="2:8" ht="18.75" x14ac:dyDescent="0.3">
      <c r="B332" s="185"/>
      <c r="C332" s="46" t="s">
        <v>156</v>
      </c>
      <c r="D332" s="79"/>
      <c r="E332" s="79"/>
      <c r="F332" s="80">
        <f>SUM(F296:F331)</f>
        <v>95436.12</v>
      </c>
      <c r="G332" s="81"/>
    </row>
    <row r="333" spans="2:8" ht="15" customHeight="1" x14ac:dyDescent="0.25">
      <c r="B333" s="325" t="s">
        <v>124</v>
      </c>
      <c r="C333" s="325"/>
      <c r="D333" s="186"/>
      <c r="E333" s="186"/>
      <c r="F333" s="186"/>
      <c r="G333" s="45"/>
    </row>
    <row r="334" spans="2:8" ht="15.75" x14ac:dyDescent="0.25">
      <c r="B334" s="64"/>
      <c r="C334" s="82">
        <v>1</v>
      </c>
      <c r="D334" s="83">
        <v>2</v>
      </c>
      <c r="E334" s="187">
        <v>3</v>
      </c>
      <c r="F334" s="187">
        <v>4</v>
      </c>
      <c r="G334" s="85"/>
    </row>
    <row r="335" spans="2:8" ht="31.5" x14ac:dyDescent="0.25">
      <c r="B335" s="64" t="s">
        <v>291</v>
      </c>
      <c r="C335" s="82" t="s">
        <v>114</v>
      </c>
      <c r="D335" s="92">
        <v>5</v>
      </c>
      <c r="E335" s="93">
        <f>F335/D335</f>
        <v>238.07</v>
      </c>
      <c r="F335" s="86">
        <v>1190.3499999999999</v>
      </c>
      <c r="G335" s="85"/>
    </row>
    <row r="336" spans="2:8" ht="31.5" x14ac:dyDescent="0.25">
      <c r="B336" s="64" t="s">
        <v>292</v>
      </c>
      <c r="C336" s="82" t="s">
        <v>114</v>
      </c>
      <c r="D336" s="92">
        <v>1</v>
      </c>
      <c r="E336" s="93">
        <v>744.8</v>
      </c>
      <c r="F336" s="86">
        <f t="shared" ref="F336:F357" si="7">D336*E336</f>
        <v>744.8</v>
      </c>
      <c r="G336" s="85"/>
    </row>
    <row r="337" spans="2:9" ht="31.5" x14ac:dyDescent="0.25">
      <c r="B337" s="64" t="s">
        <v>293</v>
      </c>
      <c r="C337" s="82" t="s">
        <v>114</v>
      </c>
      <c r="D337" s="92">
        <v>8</v>
      </c>
      <c r="E337" s="93">
        <v>67</v>
      </c>
      <c r="F337" s="86">
        <f t="shared" si="7"/>
        <v>536</v>
      </c>
      <c r="G337" s="85"/>
    </row>
    <row r="338" spans="2:9" ht="15.75" x14ac:dyDescent="0.25">
      <c r="B338" s="64" t="s">
        <v>294</v>
      </c>
      <c r="C338" s="82" t="s">
        <v>114</v>
      </c>
      <c r="D338" s="92">
        <v>10</v>
      </c>
      <c r="E338" s="93">
        <v>176.4</v>
      </c>
      <c r="F338" s="86">
        <f t="shared" si="7"/>
        <v>1764</v>
      </c>
      <c r="G338" s="94"/>
      <c r="H338" s="95"/>
      <c r="I338" s="114"/>
    </row>
    <row r="339" spans="2:9" ht="15.75" x14ac:dyDescent="0.25">
      <c r="B339" s="96" t="s">
        <v>295</v>
      </c>
      <c r="C339" s="82" t="s">
        <v>114</v>
      </c>
      <c r="D339" s="92">
        <v>3</v>
      </c>
      <c r="E339" s="93">
        <v>72.52</v>
      </c>
      <c r="F339" s="86">
        <f t="shared" si="7"/>
        <v>217.56</v>
      </c>
      <c r="G339" s="94"/>
      <c r="H339" s="95"/>
      <c r="I339" s="114"/>
    </row>
    <row r="340" spans="2:9" ht="31.5" x14ac:dyDescent="0.25">
      <c r="B340" s="96" t="s">
        <v>296</v>
      </c>
      <c r="C340" s="82" t="s">
        <v>114</v>
      </c>
      <c r="D340" s="92">
        <v>3</v>
      </c>
      <c r="E340" s="93">
        <v>430.21</v>
      </c>
      <c r="F340" s="86">
        <f t="shared" si="7"/>
        <v>1290.6299999999999</v>
      </c>
      <c r="G340" s="85"/>
    </row>
    <row r="341" spans="2:9" ht="31.5" x14ac:dyDescent="0.25">
      <c r="B341" s="96" t="s">
        <v>297</v>
      </c>
      <c r="C341" s="82" t="s">
        <v>114</v>
      </c>
      <c r="D341" s="92">
        <v>5</v>
      </c>
      <c r="E341" s="93">
        <v>165.71</v>
      </c>
      <c r="F341" s="86">
        <f t="shared" si="7"/>
        <v>828.55000000000007</v>
      </c>
      <c r="G341" s="94"/>
      <c r="H341" s="95"/>
      <c r="I341" s="114"/>
    </row>
    <row r="342" spans="2:9" ht="31.5" x14ac:dyDescent="0.25">
      <c r="B342" s="96" t="s">
        <v>298</v>
      </c>
      <c r="C342" s="82" t="s">
        <v>114</v>
      </c>
      <c r="D342" s="92">
        <v>3</v>
      </c>
      <c r="E342" s="93">
        <v>233.95</v>
      </c>
      <c r="F342" s="86">
        <f t="shared" si="7"/>
        <v>701.84999999999991</v>
      </c>
      <c r="G342" s="94"/>
      <c r="H342" s="95"/>
      <c r="I342" s="114"/>
    </row>
    <row r="343" spans="2:9" ht="31.5" x14ac:dyDescent="0.25">
      <c r="B343" s="96" t="s">
        <v>299</v>
      </c>
      <c r="C343" s="82" t="s">
        <v>114</v>
      </c>
      <c r="D343" s="92">
        <v>3</v>
      </c>
      <c r="E343" s="93">
        <v>672.08</v>
      </c>
      <c r="F343" s="86">
        <f t="shared" si="7"/>
        <v>2016.2400000000002</v>
      </c>
      <c r="G343" s="94"/>
      <c r="H343" s="95"/>
      <c r="I343" s="114"/>
    </row>
    <row r="344" spans="2:9" ht="25.5" x14ac:dyDescent="0.25">
      <c r="B344" s="170" t="s">
        <v>296</v>
      </c>
      <c r="C344" s="82" t="s">
        <v>114</v>
      </c>
      <c r="D344" s="97">
        <v>2</v>
      </c>
      <c r="E344" s="98">
        <v>457.01</v>
      </c>
      <c r="F344" s="86">
        <f t="shared" si="7"/>
        <v>914.02</v>
      </c>
      <c r="G344" s="99"/>
      <c r="H344" s="100"/>
      <c r="I344" s="114"/>
    </row>
    <row r="345" spans="2:9" ht="15.75" x14ac:dyDescent="0.25">
      <c r="B345" s="170" t="s">
        <v>300</v>
      </c>
      <c r="C345" s="82" t="s">
        <v>114</v>
      </c>
      <c r="D345" s="97">
        <v>20</v>
      </c>
      <c r="E345" s="98">
        <v>107.94</v>
      </c>
      <c r="F345" s="86">
        <f t="shared" si="7"/>
        <v>2158.8000000000002</v>
      </c>
      <c r="G345" s="99"/>
      <c r="H345" s="100"/>
      <c r="I345" s="114"/>
    </row>
    <row r="346" spans="2:9" ht="15.75" x14ac:dyDescent="0.25">
      <c r="B346" s="170" t="s">
        <v>301</v>
      </c>
      <c r="C346" s="82" t="s">
        <v>114</v>
      </c>
      <c r="D346" s="97">
        <v>10</v>
      </c>
      <c r="E346" s="98">
        <v>33.58</v>
      </c>
      <c r="F346" s="86">
        <f t="shared" si="7"/>
        <v>335.79999999999995</v>
      </c>
      <c r="G346" s="99"/>
      <c r="H346" s="100"/>
      <c r="I346" s="114"/>
    </row>
    <row r="347" spans="2:9" ht="25.5" x14ac:dyDescent="0.25">
      <c r="B347" s="170" t="s">
        <v>302</v>
      </c>
      <c r="C347" s="82" t="s">
        <v>114</v>
      </c>
      <c r="D347" s="97">
        <v>3</v>
      </c>
      <c r="E347" s="98">
        <v>181.3</v>
      </c>
      <c r="F347" s="86">
        <f t="shared" si="7"/>
        <v>543.90000000000009</v>
      </c>
      <c r="G347" s="99"/>
      <c r="H347" s="100"/>
      <c r="I347" s="114"/>
    </row>
    <row r="348" spans="2:9" ht="15.75" x14ac:dyDescent="0.25">
      <c r="B348" s="170" t="s">
        <v>303</v>
      </c>
      <c r="C348" s="82" t="s">
        <v>114</v>
      </c>
      <c r="D348" s="97">
        <v>4</v>
      </c>
      <c r="E348" s="98">
        <v>80.66</v>
      </c>
      <c r="F348" s="86">
        <f t="shared" si="7"/>
        <v>322.64</v>
      </c>
      <c r="G348" s="99"/>
      <c r="H348" s="100"/>
      <c r="I348" s="114"/>
    </row>
    <row r="349" spans="2:9" ht="25.5" x14ac:dyDescent="0.25">
      <c r="B349" s="170" t="s">
        <v>304</v>
      </c>
      <c r="C349" s="82" t="s">
        <v>114</v>
      </c>
      <c r="D349" s="97">
        <v>3</v>
      </c>
      <c r="E349" s="98">
        <v>173.43</v>
      </c>
      <c r="F349" s="86">
        <f t="shared" si="7"/>
        <v>520.29</v>
      </c>
      <c r="G349" s="99"/>
      <c r="H349" s="100"/>
      <c r="I349" s="114"/>
    </row>
    <row r="350" spans="2:9" ht="15.75" x14ac:dyDescent="0.25">
      <c r="B350" s="170" t="s">
        <v>305</v>
      </c>
      <c r="C350" s="82" t="s">
        <v>114</v>
      </c>
      <c r="D350" s="97">
        <v>1</v>
      </c>
      <c r="E350" s="98">
        <v>270.56</v>
      </c>
      <c r="F350" s="86">
        <f t="shared" si="7"/>
        <v>270.56</v>
      </c>
      <c r="G350" s="99"/>
      <c r="H350" s="100"/>
      <c r="I350" s="114"/>
    </row>
    <row r="351" spans="2:9" ht="15.75" x14ac:dyDescent="0.25">
      <c r="B351" s="170" t="s">
        <v>306</v>
      </c>
      <c r="C351" s="82" t="s">
        <v>114</v>
      </c>
      <c r="D351" s="97">
        <v>1</v>
      </c>
      <c r="E351" s="98">
        <v>293.02</v>
      </c>
      <c r="F351" s="86">
        <f t="shared" si="7"/>
        <v>293.02</v>
      </c>
      <c r="G351" s="99"/>
      <c r="H351" s="100"/>
      <c r="I351" s="114"/>
    </row>
    <row r="352" spans="2:9" ht="25.5" x14ac:dyDescent="0.25">
      <c r="B352" s="170" t="s">
        <v>307</v>
      </c>
      <c r="C352" s="82" t="s">
        <v>114</v>
      </c>
      <c r="D352" s="97">
        <v>3</v>
      </c>
      <c r="E352" s="98">
        <v>103.72</v>
      </c>
      <c r="F352" s="86">
        <f t="shared" si="7"/>
        <v>311.15999999999997</v>
      </c>
      <c r="G352" s="99"/>
      <c r="H352" s="100"/>
      <c r="I352" s="114"/>
    </row>
    <row r="353" spans="2:9" ht="15.75" x14ac:dyDescent="0.25">
      <c r="B353" s="170" t="s">
        <v>308</v>
      </c>
      <c r="C353" s="82" t="s">
        <v>114</v>
      </c>
      <c r="D353" s="97">
        <v>1</v>
      </c>
      <c r="E353" s="98">
        <v>245.35</v>
      </c>
      <c r="F353" s="86">
        <f t="shared" si="7"/>
        <v>245.35</v>
      </c>
      <c r="G353" s="99"/>
      <c r="H353" s="100"/>
      <c r="I353" s="114"/>
    </row>
    <row r="354" spans="2:9" ht="15.75" x14ac:dyDescent="0.25">
      <c r="B354" s="170" t="s">
        <v>309</v>
      </c>
      <c r="C354" s="82" t="s">
        <v>114</v>
      </c>
      <c r="D354" s="97">
        <v>2</v>
      </c>
      <c r="E354" s="98">
        <v>76.430000000000007</v>
      </c>
      <c r="F354" s="86">
        <f t="shared" si="7"/>
        <v>152.86000000000001</v>
      </c>
      <c r="G354" s="99"/>
      <c r="H354" s="100"/>
      <c r="I354" s="114"/>
    </row>
    <row r="355" spans="2:9" ht="15.75" x14ac:dyDescent="0.25">
      <c r="B355" s="170" t="s">
        <v>310</v>
      </c>
      <c r="C355" s="82" t="s">
        <v>114</v>
      </c>
      <c r="D355" s="97">
        <v>10</v>
      </c>
      <c r="E355" s="98">
        <v>72.52</v>
      </c>
      <c r="F355" s="86">
        <f t="shared" si="7"/>
        <v>725.19999999999993</v>
      </c>
      <c r="G355" s="99"/>
      <c r="H355" s="100"/>
    </row>
    <row r="356" spans="2:9" ht="25.5" x14ac:dyDescent="0.25">
      <c r="B356" s="170" t="s">
        <v>296</v>
      </c>
      <c r="C356" s="82" t="s">
        <v>114</v>
      </c>
      <c r="D356" s="97">
        <v>3</v>
      </c>
      <c r="E356" s="98">
        <v>442.01</v>
      </c>
      <c r="F356" s="86">
        <f t="shared" si="7"/>
        <v>1326.03</v>
      </c>
      <c r="G356" s="99"/>
      <c r="H356" s="100"/>
    </row>
    <row r="357" spans="2:9" ht="15.75" x14ac:dyDescent="0.25">
      <c r="B357" s="170" t="s">
        <v>311</v>
      </c>
      <c r="C357" s="82" t="s">
        <v>114</v>
      </c>
      <c r="D357" s="97">
        <v>5</v>
      </c>
      <c r="E357" s="98">
        <v>274.43</v>
      </c>
      <c r="F357" s="86">
        <f t="shared" si="7"/>
        <v>1372.15</v>
      </c>
      <c r="G357" s="99"/>
      <c r="H357" s="100"/>
    </row>
    <row r="358" spans="2:9" ht="15.75" x14ac:dyDescent="0.25">
      <c r="B358" s="170" t="s">
        <v>312</v>
      </c>
      <c r="C358" s="82" t="s">
        <v>114</v>
      </c>
      <c r="D358" s="97">
        <v>100</v>
      </c>
      <c r="E358" s="98">
        <v>6.65</v>
      </c>
      <c r="F358" s="86">
        <f>D358*E358+0.28</f>
        <v>665.28</v>
      </c>
      <c r="G358" s="99"/>
      <c r="H358" s="100"/>
    </row>
    <row r="359" spans="2:9" ht="15.75" x14ac:dyDescent="0.25">
      <c r="B359" s="170" t="s">
        <v>313</v>
      </c>
      <c r="C359" s="82" t="s">
        <v>114</v>
      </c>
      <c r="D359" s="97">
        <v>10</v>
      </c>
      <c r="E359" s="98">
        <v>119.93</v>
      </c>
      <c r="F359" s="86">
        <f t="shared" ref="F359:F364" si="8">D359*E359</f>
        <v>1199.3000000000002</v>
      </c>
      <c r="G359" s="99"/>
      <c r="H359" s="100"/>
    </row>
    <row r="360" spans="2:9" ht="15.75" x14ac:dyDescent="0.25">
      <c r="B360" s="170" t="s">
        <v>314</v>
      </c>
      <c r="C360" s="82" t="s">
        <v>114</v>
      </c>
      <c r="D360" s="97">
        <v>3</v>
      </c>
      <c r="E360" s="98">
        <v>263.02999999999997</v>
      </c>
      <c r="F360" s="86">
        <f t="shared" si="8"/>
        <v>789.08999999999992</v>
      </c>
      <c r="G360" s="99"/>
      <c r="H360" s="100"/>
    </row>
    <row r="361" spans="2:9" ht="15.75" x14ac:dyDescent="0.25">
      <c r="B361" s="170" t="s">
        <v>315</v>
      </c>
      <c r="C361" s="82" t="s">
        <v>114</v>
      </c>
      <c r="D361" s="97">
        <v>4</v>
      </c>
      <c r="E361" s="98">
        <v>208.66</v>
      </c>
      <c r="F361" s="86">
        <f t="shared" si="8"/>
        <v>834.64</v>
      </c>
      <c r="G361" s="99"/>
      <c r="H361" s="100"/>
    </row>
    <row r="362" spans="2:9" ht="15.75" x14ac:dyDescent="0.25">
      <c r="B362" s="170" t="s">
        <v>316</v>
      </c>
      <c r="C362" s="82" t="s">
        <v>114</v>
      </c>
      <c r="D362" s="97">
        <v>15</v>
      </c>
      <c r="E362" s="98">
        <v>33.58</v>
      </c>
      <c r="F362" s="86">
        <f t="shared" si="8"/>
        <v>503.7</v>
      </c>
      <c r="G362" s="99"/>
      <c r="H362" s="100"/>
    </row>
    <row r="363" spans="2:9" ht="15.75" x14ac:dyDescent="0.25">
      <c r="B363" s="170" t="s">
        <v>317</v>
      </c>
      <c r="C363" s="82" t="s">
        <v>114</v>
      </c>
      <c r="D363" s="97">
        <v>2</v>
      </c>
      <c r="E363" s="98">
        <v>148.85</v>
      </c>
      <c r="F363" s="86">
        <f t="shared" si="8"/>
        <v>297.7</v>
      </c>
      <c r="G363" s="99"/>
      <c r="H363" s="100"/>
    </row>
    <row r="364" spans="2:9" ht="15.75" x14ac:dyDescent="0.25">
      <c r="B364" s="170" t="s">
        <v>318</v>
      </c>
      <c r="C364" s="82" t="s">
        <v>114</v>
      </c>
      <c r="D364" s="97">
        <v>15</v>
      </c>
      <c r="E364" s="98">
        <v>288.8</v>
      </c>
      <c r="F364" s="86">
        <f t="shared" si="8"/>
        <v>4332</v>
      </c>
      <c r="G364" s="99"/>
      <c r="H364" s="100"/>
    </row>
    <row r="365" spans="2:9" ht="15.75" x14ac:dyDescent="0.25">
      <c r="B365" s="170" t="s">
        <v>220</v>
      </c>
      <c r="C365" s="82" t="s">
        <v>114</v>
      </c>
      <c r="D365" s="97"/>
      <c r="E365" s="98"/>
      <c r="F365" s="86"/>
      <c r="G365" s="99"/>
      <c r="H365" s="100"/>
    </row>
    <row r="366" spans="2:9" ht="15.75" x14ac:dyDescent="0.25">
      <c r="B366" s="170" t="s">
        <v>319</v>
      </c>
      <c r="C366" s="82" t="s">
        <v>114</v>
      </c>
      <c r="D366" s="97">
        <v>12</v>
      </c>
      <c r="E366" s="98">
        <v>590.01</v>
      </c>
      <c r="F366" s="86">
        <f t="shared" ref="F366:F390" si="9">D366*E366</f>
        <v>7080.12</v>
      </c>
      <c r="G366" s="99"/>
      <c r="H366" s="100"/>
    </row>
    <row r="367" spans="2:9" ht="25.5" x14ac:dyDescent="0.25">
      <c r="B367" s="170" t="s">
        <v>320</v>
      </c>
      <c r="C367" s="82" t="s">
        <v>114</v>
      </c>
      <c r="D367" s="97">
        <v>1</v>
      </c>
      <c r="E367" s="98">
        <v>282.31</v>
      </c>
      <c r="F367" s="86">
        <f t="shared" si="9"/>
        <v>282.31</v>
      </c>
      <c r="G367" s="99"/>
      <c r="H367" s="100"/>
    </row>
    <row r="368" spans="2:9" ht="15.75" x14ac:dyDescent="0.25">
      <c r="B368" s="170" t="s">
        <v>295</v>
      </c>
      <c r="C368" s="82" t="s">
        <v>114</v>
      </c>
      <c r="D368" s="97">
        <v>20</v>
      </c>
      <c r="E368" s="98">
        <v>79.86</v>
      </c>
      <c r="F368" s="86">
        <f t="shared" si="9"/>
        <v>1597.2</v>
      </c>
      <c r="G368" s="99"/>
      <c r="H368" s="100"/>
      <c r="I368" s="114"/>
    </row>
    <row r="369" spans="2:8" ht="25.5" x14ac:dyDescent="0.25">
      <c r="B369" s="170" t="s">
        <v>296</v>
      </c>
      <c r="C369" s="82" t="s">
        <v>114</v>
      </c>
      <c r="D369" s="97">
        <v>5</v>
      </c>
      <c r="E369" s="98">
        <v>606.91</v>
      </c>
      <c r="F369" s="86">
        <f t="shared" si="9"/>
        <v>3034.5499999999997</v>
      </c>
      <c r="G369" s="99"/>
      <c r="H369" s="100"/>
    </row>
    <row r="370" spans="2:8" ht="15.75" x14ac:dyDescent="0.25">
      <c r="B370" s="170" t="s">
        <v>321</v>
      </c>
      <c r="C370" s="82" t="s">
        <v>114</v>
      </c>
      <c r="D370" s="97">
        <v>3</v>
      </c>
      <c r="E370" s="98">
        <v>64.31</v>
      </c>
      <c r="F370" s="86">
        <f t="shared" si="9"/>
        <v>192.93</v>
      </c>
      <c r="G370" s="99"/>
      <c r="H370" s="100"/>
    </row>
    <row r="371" spans="2:8" ht="15.75" x14ac:dyDescent="0.25">
      <c r="B371" s="170" t="s">
        <v>322</v>
      </c>
      <c r="C371" s="82" t="s">
        <v>114</v>
      </c>
      <c r="D371" s="97">
        <v>20</v>
      </c>
      <c r="E371" s="98">
        <v>184.05</v>
      </c>
      <c r="F371" s="86">
        <f t="shared" si="9"/>
        <v>3681</v>
      </c>
      <c r="G371" s="99"/>
      <c r="H371" s="100"/>
    </row>
    <row r="372" spans="2:8" ht="15.75" x14ac:dyDescent="0.25">
      <c r="B372" s="170" t="s">
        <v>323</v>
      </c>
      <c r="C372" s="82" t="s">
        <v>114</v>
      </c>
      <c r="D372" s="97">
        <v>5</v>
      </c>
      <c r="E372" s="98">
        <v>186.95</v>
      </c>
      <c r="F372" s="86">
        <f t="shared" si="9"/>
        <v>934.75</v>
      </c>
      <c r="G372" s="99"/>
      <c r="H372" s="100"/>
    </row>
    <row r="373" spans="2:8" ht="15.75" x14ac:dyDescent="0.25">
      <c r="B373" s="170" t="s">
        <v>324</v>
      </c>
      <c r="C373" s="82" t="s">
        <v>114</v>
      </c>
      <c r="D373" s="97">
        <v>5</v>
      </c>
      <c r="E373" s="98">
        <v>275.39</v>
      </c>
      <c r="F373" s="86">
        <f t="shared" si="9"/>
        <v>1376.9499999999998</v>
      </c>
      <c r="G373" s="99"/>
      <c r="H373" s="100"/>
    </row>
    <row r="374" spans="2:8" ht="15.75" x14ac:dyDescent="0.25">
      <c r="B374" s="170" t="s">
        <v>301</v>
      </c>
      <c r="C374" s="82" t="s">
        <v>114</v>
      </c>
      <c r="D374" s="97">
        <v>30</v>
      </c>
      <c r="E374" s="98">
        <v>44.03</v>
      </c>
      <c r="F374" s="86">
        <f t="shared" si="9"/>
        <v>1320.9</v>
      </c>
      <c r="G374" s="99"/>
      <c r="H374" s="100"/>
    </row>
    <row r="375" spans="2:8" ht="15.75" x14ac:dyDescent="0.25">
      <c r="B375" s="170" t="s">
        <v>325</v>
      </c>
      <c r="C375" s="82" t="s">
        <v>114</v>
      </c>
      <c r="D375" s="97">
        <v>1</v>
      </c>
      <c r="E375" s="98">
        <v>158.13999999999999</v>
      </c>
      <c r="F375" s="86">
        <f t="shared" si="9"/>
        <v>158.13999999999999</v>
      </c>
      <c r="G375" s="99"/>
      <c r="H375" s="100"/>
    </row>
    <row r="376" spans="2:8" ht="15.75" x14ac:dyDescent="0.25">
      <c r="B376" s="170" t="s">
        <v>326</v>
      </c>
      <c r="C376" s="82" t="s">
        <v>114</v>
      </c>
      <c r="D376" s="97">
        <v>5</v>
      </c>
      <c r="E376" s="98">
        <v>409.71</v>
      </c>
      <c r="F376" s="86">
        <f t="shared" si="9"/>
        <v>2048.5499999999997</v>
      </c>
      <c r="G376" s="99"/>
      <c r="H376" s="100"/>
    </row>
    <row r="377" spans="2:8" ht="15.75" x14ac:dyDescent="0.25">
      <c r="B377" s="170" t="s">
        <v>327</v>
      </c>
      <c r="C377" s="82" t="s">
        <v>114</v>
      </c>
      <c r="D377" s="97">
        <v>3</v>
      </c>
      <c r="E377" s="98">
        <v>126.04</v>
      </c>
      <c r="F377" s="86">
        <f t="shared" si="9"/>
        <v>378.12</v>
      </c>
      <c r="G377" s="99"/>
      <c r="H377" s="100"/>
    </row>
    <row r="378" spans="2:8" ht="15.75" x14ac:dyDescent="0.25">
      <c r="B378" s="170" t="s">
        <v>328</v>
      </c>
      <c r="C378" s="82" t="s">
        <v>114</v>
      </c>
      <c r="D378" s="97">
        <v>5</v>
      </c>
      <c r="E378" s="98">
        <v>118.87</v>
      </c>
      <c r="F378" s="86">
        <f t="shared" si="9"/>
        <v>594.35</v>
      </c>
      <c r="G378" s="99"/>
      <c r="H378" s="100"/>
    </row>
    <row r="379" spans="2:8" ht="15.75" x14ac:dyDescent="0.25">
      <c r="B379" s="170" t="s">
        <v>329</v>
      </c>
      <c r="C379" s="82" t="s">
        <v>114</v>
      </c>
      <c r="D379" s="97">
        <v>1</v>
      </c>
      <c r="E379" s="98">
        <v>688.28</v>
      </c>
      <c r="F379" s="86">
        <f t="shared" si="9"/>
        <v>688.28</v>
      </c>
      <c r="G379" s="99"/>
      <c r="H379" s="100"/>
    </row>
    <row r="380" spans="2:8" ht="15.75" x14ac:dyDescent="0.25">
      <c r="B380" s="170" t="s">
        <v>330</v>
      </c>
      <c r="C380" s="82" t="s">
        <v>114</v>
      </c>
      <c r="D380" s="97">
        <v>2</v>
      </c>
      <c r="E380" s="98">
        <v>494.24</v>
      </c>
      <c r="F380" s="86">
        <f t="shared" si="9"/>
        <v>988.48</v>
      </c>
      <c r="G380" s="99"/>
      <c r="H380" s="100"/>
    </row>
    <row r="381" spans="2:8" ht="15.75" x14ac:dyDescent="0.25">
      <c r="B381" s="188" t="s">
        <v>295</v>
      </c>
      <c r="C381" s="82" t="s">
        <v>114</v>
      </c>
      <c r="D381" s="97">
        <v>10</v>
      </c>
      <c r="E381" s="98">
        <v>67.099999999999994</v>
      </c>
      <c r="F381" s="86">
        <f t="shared" si="9"/>
        <v>671</v>
      </c>
      <c r="G381" s="99"/>
      <c r="H381" s="100"/>
    </row>
    <row r="382" spans="2:8" ht="22.5" x14ac:dyDescent="0.25">
      <c r="B382" s="188" t="s">
        <v>296</v>
      </c>
      <c r="C382" s="82" t="s">
        <v>114</v>
      </c>
      <c r="D382" s="97">
        <v>3</v>
      </c>
      <c r="E382" s="98">
        <v>383.23</v>
      </c>
      <c r="F382" s="86">
        <f t="shared" si="9"/>
        <v>1149.69</v>
      </c>
      <c r="G382" s="99"/>
      <c r="H382" s="100"/>
    </row>
    <row r="383" spans="2:8" ht="15.75" x14ac:dyDescent="0.25">
      <c r="B383" s="188" t="s">
        <v>321</v>
      </c>
      <c r="C383" s="82" t="s">
        <v>114</v>
      </c>
      <c r="D383" s="97">
        <v>3</v>
      </c>
      <c r="E383" s="98">
        <v>55.26</v>
      </c>
      <c r="F383" s="86">
        <f t="shared" si="9"/>
        <v>165.78</v>
      </c>
      <c r="G383" s="99"/>
      <c r="H383" s="100"/>
    </row>
    <row r="384" spans="2:8" ht="15.75" x14ac:dyDescent="0.25">
      <c r="B384" s="188" t="s">
        <v>300</v>
      </c>
      <c r="C384" s="82" t="s">
        <v>114</v>
      </c>
      <c r="D384" s="97">
        <v>15</v>
      </c>
      <c r="E384" s="98">
        <v>107.94</v>
      </c>
      <c r="F384" s="86">
        <f t="shared" si="9"/>
        <v>1619.1</v>
      </c>
      <c r="G384" s="99"/>
      <c r="H384" s="100"/>
    </row>
    <row r="385" spans="2:12" ht="15.75" x14ac:dyDescent="0.25">
      <c r="B385" s="188" t="s">
        <v>331</v>
      </c>
      <c r="C385" s="82" t="s">
        <v>114</v>
      </c>
      <c r="D385" s="97">
        <v>5</v>
      </c>
      <c r="E385" s="98">
        <v>155.82</v>
      </c>
      <c r="F385" s="86">
        <f t="shared" si="9"/>
        <v>779.09999999999991</v>
      </c>
      <c r="G385" s="99"/>
      <c r="H385" s="100"/>
    </row>
    <row r="386" spans="2:12" ht="15.75" x14ac:dyDescent="0.25">
      <c r="B386" s="188" t="s">
        <v>332</v>
      </c>
      <c r="C386" s="82" t="s">
        <v>114</v>
      </c>
      <c r="D386" s="97">
        <v>15</v>
      </c>
      <c r="E386" s="98">
        <v>32.69</v>
      </c>
      <c r="F386" s="86">
        <f t="shared" si="9"/>
        <v>490.34999999999997</v>
      </c>
      <c r="G386" s="99"/>
      <c r="H386" s="100"/>
    </row>
    <row r="387" spans="2:12" ht="15.75" x14ac:dyDescent="0.25">
      <c r="B387" s="188" t="s">
        <v>325</v>
      </c>
      <c r="C387" s="82" t="s">
        <v>114</v>
      </c>
      <c r="D387" s="97">
        <v>1</v>
      </c>
      <c r="E387" s="98">
        <v>150.30000000000001</v>
      </c>
      <c r="F387" s="86">
        <f t="shared" si="9"/>
        <v>150.30000000000001</v>
      </c>
      <c r="G387" s="207"/>
      <c r="H387" s="100"/>
    </row>
    <row r="388" spans="2:12" ht="15.75" x14ac:dyDescent="0.25">
      <c r="B388" s="188" t="s">
        <v>301</v>
      </c>
      <c r="C388" s="82" t="s">
        <v>114</v>
      </c>
      <c r="D388" s="97">
        <v>1</v>
      </c>
      <c r="E388" s="98">
        <v>22.51</v>
      </c>
      <c r="F388" s="86">
        <f t="shared" si="9"/>
        <v>22.51</v>
      </c>
      <c r="G388" s="207"/>
      <c r="H388" s="100"/>
    </row>
    <row r="389" spans="2:12" ht="15.75" x14ac:dyDescent="0.25">
      <c r="B389" s="188" t="s">
        <v>326</v>
      </c>
      <c r="C389" s="82" t="s">
        <v>114</v>
      </c>
      <c r="D389" s="97">
        <v>10</v>
      </c>
      <c r="E389" s="98">
        <v>71.25</v>
      </c>
      <c r="F389" s="86">
        <f t="shared" si="9"/>
        <v>712.5</v>
      </c>
      <c r="G389" s="206"/>
      <c r="H389" s="1"/>
      <c r="J389" s="207"/>
      <c r="K389" s="100"/>
    </row>
    <row r="390" spans="2:12" ht="15.75" x14ac:dyDescent="0.25">
      <c r="B390" s="188" t="s">
        <v>303</v>
      </c>
      <c r="C390" s="82" t="s">
        <v>114</v>
      </c>
      <c r="D390" s="97">
        <v>3</v>
      </c>
      <c r="E390" s="98">
        <v>92.52</v>
      </c>
      <c r="F390" s="86">
        <f t="shared" si="9"/>
        <v>277.56</v>
      </c>
      <c r="G390" s="206"/>
      <c r="H390" s="1"/>
      <c r="I390" s="1"/>
      <c r="J390" s="207"/>
      <c r="K390" s="100"/>
      <c r="L390" s="114"/>
    </row>
    <row r="391" spans="2:12" ht="31.5" x14ac:dyDescent="0.25">
      <c r="B391" s="96" t="s">
        <v>299</v>
      </c>
      <c r="C391" s="82" t="s">
        <v>150</v>
      </c>
      <c r="D391" s="97">
        <v>20</v>
      </c>
      <c r="E391" s="98">
        <f>F391/D391</f>
        <v>1031.2459999999999</v>
      </c>
      <c r="F391" s="86">
        <v>20624.919999999998</v>
      </c>
      <c r="G391" s="206"/>
      <c r="H391" s="1"/>
      <c r="I391" s="1"/>
      <c r="J391" s="207"/>
      <c r="K391" s="100"/>
      <c r="L391" s="114"/>
    </row>
    <row r="392" spans="2:12" ht="18.75" x14ac:dyDescent="0.3">
      <c r="B392" s="185"/>
      <c r="C392" s="46" t="s">
        <v>156</v>
      </c>
      <c r="D392" s="79"/>
      <c r="E392" s="79"/>
      <c r="F392" s="80">
        <f>SUM(F334:F391)</f>
        <v>78426.91</v>
      </c>
      <c r="H392" s="1"/>
    </row>
    <row r="393" spans="2:12" ht="15.75" x14ac:dyDescent="0.25">
      <c r="B393" s="115"/>
      <c r="C393" s="115"/>
      <c r="D393" s="115"/>
      <c r="E393" s="115"/>
      <c r="F393" s="115"/>
      <c r="G393" s="200"/>
      <c r="H393" s="1"/>
    </row>
    <row r="394" spans="2:12" ht="15.95" customHeight="1" x14ac:dyDescent="0.25">
      <c r="B394" s="326" t="s">
        <v>112</v>
      </c>
      <c r="C394" s="326"/>
      <c r="D394" s="115"/>
      <c r="E394" s="115"/>
      <c r="F394" s="116"/>
      <c r="G394" s="189"/>
    </row>
    <row r="395" spans="2:12" ht="47.25" x14ac:dyDescent="0.25">
      <c r="B395" s="190" t="s">
        <v>333</v>
      </c>
      <c r="C395" s="103" t="s">
        <v>334</v>
      </c>
      <c r="D395" s="103">
        <v>12</v>
      </c>
      <c r="E395" s="180">
        <v>10416.666666666701</v>
      </c>
      <c r="F395" s="132">
        <f>D395*E395</f>
        <v>125000.00000000041</v>
      </c>
      <c r="G395" s="105"/>
    </row>
    <row r="396" spans="2:12" ht="15.95" customHeight="1" x14ac:dyDescent="0.25">
      <c r="B396" s="327" t="s">
        <v>158</v>
      </c>
      <c r="C396" s="327"/>
      <c r="D396" s="115"/>
      <c r="E396" s="115"/>
      <c r="F396" s="202">
        <f>SUM(F395)</f>
        <v>125000.00000000041</v>
      </c>
      <c r="G396" s="181"/>
    </row>
    <row r="397" spans="2:12" ht="15.95" customHeight="1" x14ac:dyDescent="0.25">
      <c r="B397" s="326" t="s">
        <v>124</v>
      </c>
      <c r="C397" s="326"/>
      <c r="D397" s="103"/>
      <c r="E397" s="103"/>
      <c r="F397" s="231"/>
      <c r="G397" s="105"/>
    </row>
    <row r="398" spans="2:12" ht="15.75" x14ac:dyDescent="0.25">
      <c r="B398" s="125" t="s">
        <v>335</v>
      </c>
      <c r="C398" s="103" t="s">
        <v>336</v>
      </c>
      <c r="D398" s="158">
        <v>50</v>
      </c>
      <c r="E398" s="111">
        <v>100</v>
      </c>
      <c r="F398" s="132">
        <f>D398*E398</f>
        <v>5000</v>
      </c>
      <c r="G398" s="105"/>
    </row>
    <row r="399" spans="2:12" ht="15.95" customHeight="1" x14ac:dyDescent="0.25">
      <c r="B399" s="327" t="s">
        <v>158</v>
      </c>
      <c r="C399" s="327"/>
      <c r="D399" s="115"/>
      <c r="E399" s="115"/>
      <c r="F399" s="202">
        <f>SUM(F398)</f>
        <v>5000</v>
      </c>
      <c r="G399" s="181"/>
    </row>
    <row r="400" spans="2:12" ht="15.95" customHeight="1" x14ac:dyDescent="0.25">
      <c r="B400" s="327" t="s">
        <v>99</v>
      </c>
      <c r="C400" s="327"/>
      <c r="D400" s="115"/>
      <c r="E400" s="115"/>
      <c r="F400" s="202">
        <f>SUM(F396+F399)</f>
        <v>130000.00000000041</v>
      </c>
      <c r="G400" s="181"/>
    </row>
    <row r="402" spans="2:6" ht="47.25" x14ac:dyDescent="0.25">
      <c r="B402" s="208" t="s">
        <v>353</v>
      </c>
      <c r="C402" s="217" t="s">
        <v>346</v>
      </c>
      <c r="D402" s="213" t="s">
        <v>344</v>
      </c>
      <c r="E402" s="213" t="s">
        <v>345</v>
      </c>
      <c r="F402" s="134" t="s">
        <v>355</v>
      </c>
    </row>
    <row r="403" spans="2:6" ht="47.25" x14ac:dyDescent="0.25">
      <c r="B403" s="215" t="s">
        <v>227</v>
      </c>
      <c r="C403" s="50">
        <v>0</v>
      </c>
      <c r="D403" s="235">
        <f>SUM(C203)</f>
        <v>10461892.190879999</v>
      </c>
      <c r="E403" s="50">
        <f>SUM(D203)</f>
        <v>1447297.4999999995</v>
      </c>
      <c r="F403" s="237">
        <f>SUM(C403:E403)</f>
        <v>11909189.690879999</v>
      </c>
    </row>
    <row r="404" spans="2:6" ht="63" x14ac:dyDescent="0.25">
      <c r="B404" s="234" t="s">
        <v>228</v>
      </c>
      <c r="C404" s="50">
        <v>0</v>
      </c>
      <c r="D404" s="235">
        <f>SUM(F212+F227+F279+F332+F396)</f>
        <v>397636.95000000042</v>
      </c>
      <c r="E404" s="235">
        <f>SUM(F223+F269+F392+F399)</f>
        <v>213413.57</v>
      </c>
      <c r="F404" s="237">
        <f>SUM(C404:E404)</f>
        <v>611050.52000000048</v>
      </c>
    </row>
    <row r="405" spans="2:6" x14ac:dyDescent="0.25">
      <c r="B405" s="205">
        <f>SUM('расчет подушевого 2022'!C158)</f>
        <v>611050.52242620476</v>
      </c>
      <c r="C405" s="50"/>
      <c r="D405" s="50"/>
      <c r="E405" s="50"/>
      <c r="F405" s="50"/>
    </row>
    <row r="406" spans="2:6" x14ac:dyDescent="0.25">
      <c r="B406" s="205">
        <f>SUM('расчет подушевого 2022'!C158+'расчет подушевого 2022'!C86+'расчет подушевого 2022'!C87)</f>
        <v>12520240.212426204</v>
      </c>
      <c r="C406" s="205"/>
      <c r="D406" s="50"/>
      <c r="E406" s="50"/>
      <c r="F406" s="205">
        <f>SUM(F403:F405)</f>
        <v>12520240.21088</v>
      </c>
    </row>
    <row r="407" spans="2:6" x14ac:dyDescent="0.25">
      <c r="C407" s="198"/>
    </row>
    <row r="408" spans="2:6" ht="65.849999999999994" customHeight="1" x14ac:dyDescent="0.3">
      <c r="B408" s="322" t="s">
        <v>358</v>
      </c>
      <c r="C408" s="323"/>
      <c r="D408" s="323"/>
      <c r="E408" s="323"/>
      <c r="F408" s="323"/>
    </row>
    <row r="409" spans="2:6" ht="76.349999999999994" customHeight="1" x14ac:dyDescent="0.25">
      <c r="B409" s="217" t="s">
        <v>347</v>
      </c>
      <c r="C409" s="217" t="s">
        <v>346</v>
      </c>
      <c r="D409" s="213" t="s">
        <v>344</v>
      </c>
      <c r="E409" s="213" t="s">
        <v>345</v>
      </c>
      <c r="F409" s="134" t="s">
        <v>355</v>
      </c>
    </row>
    <row r="410" spans="2:6" ht="31.5" x14ac:dyDescent="0.25">
      <c r="B410" s="217" t="s">
        <v>337</v>
      </c>
      <c r="C410" s="50">
        <v>0</v>
      </c>
      <c r="D410" s="49">
        <f>SUM(C16+D403)</f>
        <v>107089064.00066</v>
      </c>
      <c r="E410" s="49">
        <f>SUM(E403+D16)</f>
        <v>11900000</v>
      </c>
      <c r="F410" s="204">
        <f>SUM(C410:E410)</f>
        <v>118989064.00066</v>
      </c>
    </row>
    <row r="411" spans="2:6" ht="15.75" x14ac:dyDescent="0.25">
      <c r="B411" s="209" t="s">
        <v>356</v>
      </c>
      <c r="C411" s="235">
        <f>SUM(C186)</f>
        <v>465192.9975</v>
      </c>
      <c r="D411" s="210">
        <f>SUM(D186+D404)</f>
        <v>3540136</v>
      </c>
      <c r="E411" s="49">
        <f>SUM(E404+E186)</f>
        <v>2099900</v>
      </c>
      <c r="F411" s="52">
        <f>SUM(C411:E411)</f>
        <v>6105228.9975000005</v>
      </c>
    </row>
    <row r="412" spans="2:6" ht="15.75" x14ac:dyDescent="0.25">
      <c r="B412" s="209"/>
      <c r="C412" s="52"/>
      <c r="D412" s="49"/>
      <c r="E412" s="49"/>
      <c r="F412" s="52"/>
    </row>
    <row r="413" spans="2:6" x14ac:dyDescent="0.25">
      <c r="B413" s="205">
        <f>SUM('расчет объема'!E37)</f>
        <v>125094293.0027</v>
      </c>
      <c r="C413" s="205"/>
      <c r="D413" s="50"/>
      <c r="E413" s="50"/>
      <c r="F413" s="205">
        <f>SUM(F410:F412)</f>
        <v>125094292.99816</v>
      </c>
    </row>
    <row r="414" spans="2:6" x14ac:dyDescent="0.25">
      <c r="C414" s="198"/>
    </row>
    <row r="415" spans="2:6" ht="15.75" x14ac:dyDescent="0.25">
      <c r="B415" s="4" t="s">
        <v>357</v>
      </c>
      <c r="C415" s="198"/>
    </row>
    <row r="417" spans="2:7" x14ac:dyDescent="0.25">
      <c r="B417" s="176"/>
      <c r="C417" s="1"/>
      <c r="D417" s="1"/>
      <c r="E417" s="1"/>
      <c r="F417" s="1"/>
    </row>
    <row r="418" spans="2:7" x14ac:dyDescent="0.25">
      <c r="B418" s="176"/>
      <c r="C418" s="173"/>
      <c r="D418" s="1"/>
      <c r="E418" s="1"/>
      <c r="F418" s="1"/>
    </row>
    <row r="419" spans="2:7" ht="20.25" customHeight="1" x14ac:dyDescent="0.25">
      <c r="B419" s="176"/>
      <c r="C419" s="173"/>
      <c r="D419" s="1"/>
      <c r="E419" s="1"/>
      <c r="F419" s="1"/>
      <c r="G419" s="1"/>
    </row>
    <row r="420" spans="2:7" ht="20.25" customHeight="1" x14ac:dyDescent="0.25">
      <c r="C420" s="1"/>
      <c r="D420" s="1"/>
      <c r="E420" s="1"/>
      <c r="F420" s="1"/>
    </row>
    <row r="421" spans="2:7" x14ac:dyDescent="0.25">
      <c r="C421" s="1"/>
      <c r="D421" s="1"/>
      <c r="E421" s="1"/>
      <c r="F421" s="1"/>
    </row>
    <row r="422" spans="2:7" x14ac:dyDescent="0.25">
      <c r="C422" s="1"/>
      <c r="D422" s="1"/>
      <c r="E422" s="1"/>
      <c r="F422" s="1"/>
    </row>
    <row r="423" spans="2:7" x14ac:dyDescent="0.25">
      <c r="C423" s="1"/>
      <c r="D423" s="1"/>
      <c r="E423" s="1"/>
      <c r="F423" s="1"/>
    </row>
    <row r="426" spans="2:7" x14ac:dyDescent="0.25">
      <c r="B426" s="176"/>
    </row>
    <row r="429" spans="2:7" x14ac:dyDescent="0.25">
      <c r="B429" s="238"/>
      <c r="C429" s="239"/>
      <c r="D429" s="239"/>
      <c r="E429" s="239"/>
    </row>
    <row r="430" spans="2:7" x14ac:dyDescent="0.25">
      <c r="B430" s="240"/>
      <c r="C430" s="1"/>
      <c r="D430" s="1"/>
      <c r="E430" s="1"/>
    </row>
    <row r="431" spans="2:7" x14ac:dyDescent="0.25">
      <c r="B431" s="240"/>
      <c r="C431" s="1"/>
      <c r="D431" s="1"/>
      <c r="E431" s="1"/>
    </row>
    <row r="432" spans="2:7" x14ac:dyDescent="0.25">
      <c r="C432" s="1"/>
      <c r="D432" s="1"/>
      <c r="E432" s="1"/>
    </row>
    <row r="433" spans="3:7" x14ac:dyDescent="0.25">
      <c r="C433" s="1"/>
      <c r="D433" s="1"/>
      <c r="E433" s="1"/>
    </row>
    <row r="434" spans="3:7" x14ac:dyDescent="0.25">
      <c r="C434" s="1"/>
      <c r="D434" s="1"/>
      <c r="E434" s="1"/>
    </row>
    <row r="435" spans="3:7" x14ac:dyDescent="0.25">
      <c r="E435" s="1"/>
    </row>
    <row r="436" spans="3:7" x14ac:dyDescent="0.25">
      <c r="C436" s="173"/>
      <c r="D436" s="176"/>
      <c r="E436" s="173"/>
      <c r="F436" s="1"/>
      <c r="G436" s="1"/>
    </row>
    <row r="438" spans="3:7" x14ac:dyDescent="0.25">
      <c r="C438" s="1"/>
    </row>
    <row r="439" spans="3:7" x14ac:dyDescent="0.25">
      <c r="C439" s="1"/>
    </row>
    <row r="440" spans="3:7" x14ac:dyDescent="0.25">
      <c r="C440" s="1"/>
      <c r="D440" s="1"/>
      <c r="E440" s="1"/>
      <c r="F440" s="1"/>
      <c r="G440" s="1"/>
    </row>
    <row r="441" spans="3:7" x14ac:dyDescent="0.25">
      <c r="C441" s="1"/>
      <c r="D441" s="1"/>
      <c r="F441" s="1"/>
    </row>
    <row r="442" spans="3:7" x14ac:dyDescent="0.25">
      <c r="C442" s="1"/>
      <c r="D442" s="1"/>
      <c r="E442" s="1"/>
      <c r="F442" s="1"/>
      <c r="G442" s="1"/>
    </row>
    <row r="443" spans="3:7" x14ac:dyDescent="0.25">
      <c r="C443" s="1"/>
      <c r="D443" s="1"/>
      <c r="F443" s="1"/>
    </row>
    <row r="444" spans="3:7" x14ac:dyDescent="0.25">
      <c r="C444" s="1"/>
      <c r="E444" s="1"/>
      <c r="F444" s="1"/>
      <c r="G444" s="1"/>
    </row>
    <row r="445" spans="3:7" x14ac:dyDescent="0.25">
      <c r="C445" s="1"/>
    </row>
    <row r="447" spans="3:7" x14ac:dyDescent="0.25">
      <c r="C447" s="1"/>
      <c r="D447" s="1"/>
    </row>
    <row r="448" spans="3:7" x14ac:dyDescent="0.25">
      <c r="C448" s="1"/>
    </row>
    <row r="450" spans="3:3" x14ac:dyDescent="0.25">
      <c r="C450" s="1"/>
    </row>
  </sheetData>
  <mergeCells count="71">
    <mergeCell ref="B101:C101"/>
    <mergeCell ref="B4:J4"/>
    <mergeCell ref="B7:J7"/>
    <mergeCell ref="B17:K17"/>
    <mergeCell ref="B21:C21"/>
    <mergeCell ref="B33:C33"/>
    <mergeCell ref="B92:C92"/>
    <mergeCell ref="B93:C93"/>
    <mergeCell ref="B37:C37"/>
    <mergeCell ref="B69:C69"/>
    <mergeCell ref="B72:C72"/>
    <mergeCell ref="B82:C82"/>
    <mergeCell ref="B83:C83"/>
    <mergeCell ref="B39:C39"/>
    <mergeCell ref="B163:C163"/>
    <mergeCell ref="B164:C164"/>
    <mergeCell ref="B169:C169"/>
    <mergeCell ref="B94:C94"/>
    <mergeCell ref="B100:C100"/>
    <mergeCell ref="B133:C133"/>
    <mergeCell ref="B105:C105"/>
    <mergeCell ref="B106:C106"/>
    <mergeCell ref="B108:C108"/>
    <mergeCell ref="B111:C111"/>
    <mergeCell ref="B113:C113"/>
    <mergeCell ref="B117:C117"/>
    <mergeCell ref="B119:C119"/>
    <mergeCell ref="B125:C125"/>
    <mergeCell ref="B126:C126"/>
    <mergeCell ref="B132:C132"/>
    <mergeCell ref="B160:C160"/>
    <mergeCell ref="B138:K138"/>
    <mergeCell ref="B140:C140"/>
    <mergeCell ref="B144:C144"/>
    <mergeCell ref="B145:C145"/>
    <mergeCell ref="B148:C148"/>
    <mergeCell ref="B149:C149"/>
    <mergeCell ref="B151:C151"/>
    <mergeCell ref="B152:C152"/>
    <mergeCell ref="B155:C155"/>
    <mergeCell ref="B156:C156"/>
    <mergeCell ref="B159:C159"/>
    <mergeCell ref="B171:C171"/>
    <mergeCell ref="B176:C176"/>
    <mergeCell ref="B212:C212"/>
    <mergeCell ref="B399:C399"/>
    <mergeCell ref="B400:C400"/>
    <mergeCell ref="B283:C283"/>
    <mergeCell ref="B288:C288"/>
    <mergeCell ref="B289:C289"/>
    <mergeCell ref="B292:C292"/>
    <mergeCell ref="B293:C293"/>
    <mergeCell ref="B295:C295"/>
    <mergeCell ref="B213:C213"/>
    <mergeCell ref="B177:C177"/>
    <mergeCell ref="B408:F408"/>
    <mergeCell ref="B191:F191"/>
    <mergeCell ref="B2:O2"/>
    <mergeCell ref="B333:C333"/>
    <mergeCell ref="B394:C394"/>
    <mergeCell ref="B396:C396"/>
    <mergeCell ref="B397:C397"/>
    <mergeCell ref="B223:C223"/>
    <mergeCell ref="B225:C225"/>
    <mergeCell ref="B227:C227"/>
    <mergeCell ref="B229:C229"/>
    <mergeCell ref="B269:C269"/>
    <mergeCell ref="B271:C271"/>
    <mergeCell ref="B180:C180"/>
    <mergeCell ref="B181:C181"/>
    <mergeCell ref="B209:C209"/>
  </mergeCells>
  <pageMargins left="0.78740157480314965" right="0" top="0" bottom="0" header="0" footer="0"/>
  <pageSetup paperSize="9" scale="87" orientation="landscape" r:id="rId1"/>
  <rowBreaks count="7" manualBreakCount="7">
    <brk id="16" max="7" man="1"/>
    <brk id="47" max="7" man="1"/>
    <brk id="85" max="7" man="1"/>
    <brk id="181" max="7" man="1"/>
    <brk id="203" max="7" man="1"/>
    <brk id="393" max="7" man="1"/>
    <brk id="406" max="7" man="1"/>
  </rowBreaks>
  <colBreaks count="2" manualBreakCount="2">
    <brk id="16" max="158" man="1"/>
    <brk id="34" max="1048575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47"/>
  <sheetViews>
    <sheetView view="pageBreakPreview" topLeftCell="A85" zoomScale="89" zoomScaleNormal="100" zoomScaleSheetLayoutView="89" workbookViewId="0">
      <selection activeCell="B89" sqref="B89:O101"/>
    </sheetView>
  </sheetViews>
  <sheetFormatPr defaultColWidth="8.42578125" defaultRowHeight="15" x14ac:dyDescent="0.25"/>
  <cols>
    <col min="2" max="2" width="31.140625" customWidth="1"/>
    <col min="3" max="3" width="32.28515625" customWidth="1"/>
    <col min="4" max="4" width="27.7109375" customWidth="1"/>
    <col min="5" max="5" width="14.28515625" customWidth="1"/>
    <col min="6" max="7" width="13.42578125" customWidth="1"/>
    <col min="8" max="8" width="11" customWidth="1"/>
    <col min="9" max="9" width="12.85546875" customWidth="1"/>
    <col min="10" max="10" width="15" customWidth="1"/>
    <col min="12" max="12" width="16" customWidth="1"/>
  </cols>
  <sheetData>
    <row r="3" spans="2:11" ht="18.75" x14ac:dyDescent="0.3">
      <c r="B3" s="9" t="s">
        <v>77</v>
      </c>
      <c r="C3" s="9"/>
      <c r="D3" s="9"/>
    </row>
    <row r="4" spans="2:11" ht="31.35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1" ht="18.7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1" ht="18.7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1" ht="18.7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1" ht="18.7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1" ht="18.75" x14ac:dyDescent="0.3">
      <c r="B9" s="5"/>
      <c r="C9" s="5"/>
      <c r="D9" s="5"/>
      <c r="E9" s="5"/>
      <c r="F9" s="5"/>
      <c r="G9" s="5"/>
      <c r="H9" s="5"/>
      <c r="I9" s="5"/>
      <c r="J9" s="5"/>
    </row>
    <row r="10" spans="2:11" ht="18.75" x14ac:dyDescent="0.3">
      <c r="B10" s="5" t="s">
        <v>5</v>
      </c>
      <c r="C10" s="8">
        <f>SUM(C33)</f>
        <v>81234.468921341686</v>
      </c>
      <c r="D10" s="5"/>
      <c r="E10" s="5"/>
      <c r="F10" s="5"/>
      <c r="G10" s="5"/>
      <c r="H10" s="5"/>
      <c r="I10" s="5"/>
      <c r="J10" s="5"/>
    </row>
    <row r="11" spans="2:11" ht="18.75" x14ac:dyDescent="0.3">
      <c r="B11" s="5" t="s">
        <v>6</v>
      </c>
      <c r="C11" s="8">
        <f>SUM(C46)</f>
        <v>8493.0045498828094</v>
      </c>
      <c r="D11" s="5"/>
      <c r="E11" s="5"/>
      <c r="F11" s="5"/>
      <c r="G11" s="5"/>
      <c r="H11" s="5"/>
      <c r="I11" s="5"/>
      <c r="J11" s="5"/>
    </row>
    <row r="12" spans="2:11" ht="18.7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1" ht="18.75" x14ac:dyDescent="0.3">
      <c r="B13" s="5" t="s">
        <v>7</v>
      </c>
      <c r="C13" s="10">
        <f>SUM(C10:C11)</f>
        <v>89727.473471224497</v>
      </c>
      <c r="D13" s="5"/>
      <c r="E13" s="5"/>
      <c r="F13" s="5"/>
      <c r="G13" s="5"/>
      <c r="H13" s="5"/>
      <c r="I13" s="8"/>
      <c r="J13" s="5"/>
    </row>
    <row r="16" spans="2:11" ht="52.7" customHeight="1" x14ac:dyDescent="0.3">
      <c r="B16" s="318" t="s">
        <v>60</v>
      </c>
      <c r="C16" s="318"/>
      <c r="D16" s="318"/>
      <c r="E16" s="318"/>
      <c r="F16" s="318"/>
      <c r="G16" s="318"/>
      <c r="H16" s="318"/>
      <c r="I16" s="318"/>
      <c r="J16" s="318"/>
      <c r="K16" s="318"/>
    </row>
    <row r="18" spans="2:11" ht="18.7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8.7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8.7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16" t="s">
        <v>9</v>
      </c>
      <c r="C21" s="316"/>
      <c r="D21" s="316"/>
      <c r="E21" s="316"/>
      <c r="F21" s="316"/>
      <c r="G21" s="316"/>
      <c r="H21" s="316"/>
      <c r="I21" s="316"/>
      <c r="J21" s="316"/>
      <c r="K21" s="316"/>
    </row>
    <row r="22" spans="2:11" ht="18.7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16" t="s">
        <v>10</v>
      </c>
      <c r="C23" s="317"/>
      <c r="D23" s="317"/>
      <c r="E23" s="317"/>
      <c r="F23" s="317"/>
      <c r="G23" s="317"/>
      <c r="H23" s="317"/>
      <c r="I23" s="317"/>
      <c r="J23" s="317"/>
      <c r="K23" s="317"/>
    </row>
    <row r="24" spans="2:11" ht="28.15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8.7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8.7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8.75" x14ac:dyDescent="0.3">
      <c r="B28" s="8" t="s">
        <v>13</v>
      </c>
      <c r="C28" s="8">
        <f>SUM(C114)</f>
        <v>87387474.620000005</v>
      </c>
      <c r="D28" s="5">
        <v>1470</v>
      </c>
      <c r="E28" s="5">
        <f>SUM(C28/D28)</f>
        <v>59447.261646258507</v>
      </c>
      <c r="F28" s="5"/>
      <c r="J28" s="1"/>
    </row>
    <row r="29" spans="2:11" ht="18.75" x14ac:dyDescent="0.3">
      <c r="B29" s="5" t="s">
        <v>14</v>
      </c>
      <c r="C29" s="8">
        <v>26528699.890000001</v>
      </c>
      <c r="D29" s="5">
        <v>1470</v>
      </c>
      <c r="E29" s="5">
        <f>SUM(C29/D29)</f>
        <v>18046.73461904762</v>
      </c>
      <c r="F29" s="5"/>
    </row>
    <row r="30" spans="2:11" ht="18.75" x14ac:dyDescent="0.3">
      <c r="B30" s="5" t="s">
        <v>15</v>
      </c>
      <c r="C30" s="8">
        <f>SUM(C86)</f>
        <v>3740.4726560355589</v>
      </c>
      <c r="D30" s="5"/>
      <c r="E30" s="5"/>
      <c r="F30" s="5"/>
    </row>
    <row r="31" spans="2:11" ht="18.75" x14ac:dyDescent="0.3">
      <c r="B31" s="5" t="s">
        <v>16</v>
      </c>
      <c r="C31" s="8">
        <v>0</v>
      </c>
      <c r="D31" s="5"/>
      <c r="E31" s="5"/>
      <c r="F31" s="5"/>
    </row>
    <row r="32" spans="2:11" ht="18.75" x14ac:dyDescent="0.3">
      <c r="B32" s="5"/>
      <c r="C32" s="5"/>
      <c r="D32" s="5"/>
      <c r="E32" s="5"/>
      <c r="F32" s="5"/>
    </row>
    <row r="33" spans="2:10" ht="18.75" x14ac:dyDescent="0.3">
      <c r="B33" s="9" t="s">
        <v>17</v>
      </c>
      <c r="C33" s="14">
        <f>SUM(E28+E29+C30+C31)</f>
        <v>81234.468921341686</v>
      </c>
      <c r="D33" s="5"/>
      <c r="E33" s="5"/>
      <c r="F33" s="5"/>
    </row>
    <row r="35" spans="2:10" ht="18.75" x14ac:dyDescent="0.3">
      <c r="B35" s="9" t="s">
        <v>61</v>
      </c>
      <c r="C35" s="9"/>
      <c r="D35" s="9"/>
      <c r="E35" s="9"/>
      <c r="F35" s="9"/>
      <c r="G35" s="9"/>
      <c r="H35" s="9"/>
      <c r="I35" s="9"/>
    </row>
    <row r="36" spans="2:10" ht="18.7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8.7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8.7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" customHeight="1" x14ac:dyDescent="0.3">
      <c r="B39" s="316" t="s">
        <v>19</v>
      </c>
      <c r="C39" s="319"/>
      <c r="D39" s="319"/>
      <c r="E39" s="319"/>
      <c r="F39" s="319"/>
      <c r="G39" s="319"/>
      <c r="H39" s="319"/>
      <c r="I39" s="319"/>
      <c r="J39" s="319"/>
    </row>
    <row r="40" spans="2:10" ht="18.7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8.7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8.7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8.75" x14ac:dyDescent="0.3">
      <c r="B43" s="5" t="s">
        <v>21</v>
      </c>
      <c r="C43" s="8">
        <f>SUM(C62)</f>
        <v>12484716.688327728</v>
      </c>
      <c r="D43" s="5"/>
      <c r="E43" s="5"/>
      <c r="F43" s="5"/>
      <c r="G43" s="5"/>
      <c r="H43" s="5"/>
      <c r="I43" s="5"/>
      <c r="J43" s="5"/>
    </row>
    <row r="44" spans="2:10" ht="18.75" x14ac:dyDescent="0.3">
      <c r="B44" s="5" t="s">
        <v>22</v>
      </c>
      <c r="C44" s="5">
        <f>SUM(C74)</f>
        <v>6.8027210884353748E-4</v>
      </c>
      <c r="D44" s="5"/>
      <c r="E44" s="5"/>
      <c r="F44" s="5"/>
      <c r="G44" s="5"/>
      <c r="H44" s="5"/>
      <c r="I44" s="5"/>
      <c r="J44" s="5"/>
    </row>
    <row r="45" spans="2:10" ht="18.7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8.75" x14ac:dyDescent="0.3">
      <c r="B46" s="9" t="s">
        <v>23</v>
      </c>
      <c r="C46" s="9">
        <f>SUM(C43*C44)</f>
        <v>8493.0045498828094</v>
      </c>
      <c r="D46" s="5"/>
      <c r="E46" s="5"/>
      <c r="F46" s="5"/>
      <c r="G46" s="5"/>
      <c r="H46" s="5"/>
      <c r="I46" s="5"/>
      <c r="J46" s="5"/>
    </row>
    <row r="49" spans="2:20" ht="35.65" customHeight="1" x14ac:dyDescent="0.3">
      <c r="B49" s="9" t="s">
        <v>62</v>
      </c>
      <c r="C49" s="9"/>
      <c r="D49" s="9"/>
      <c r="E49" s="9"/>
      <c r="F49" s="9"/>
      <c r="G49" s="9"/>
      <c r="H49" s="9"/>
      <c r="I49" s="9"/>
    </row>
    <row r="50" spans="2:20" ht="18.7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8.7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8.7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16" t="s">
        <v>81</v>
      </c>
      <c r="C53" s="317"/>
      <c r="D53" s="317"/>
      <c r="E53" s="317"/>
      <c r="F53" s="317"/>
      <c r="G53" s="317"/>
      <c r="H53" s="317"/>
      <c r="I53" s="317"/>
      <c r="J53" s="317"/>
      <c r="K53" s="317"/>
      <c r="L53" s="317"/>
      <c r="M53" s="5"/>
      <c r="N53" s="5"/>
      <c r="O53" s="5"/>
      <c r="P53" s="5"/>
      <c r="Q53" s="5"/>
      <c r="R53" s="5"/>
    </row>
    <row r="54" spans="2:20" ht="18.7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6" customHeight="1" x14ac:dyDescent="0.3">
      <c r="B55" s="316" t="s">
        <v>66</v>
      </c>
      <c r="C55" s="317"/>
      <c r="D55" s="317"/>
      <c r="E55" s="317"/>
      <c r="F55" s="317"/>
      <c r="G55" s="317"/>
      <c r="H55" s="317"/>
      <c r="I55" s="317"/>
      <c r="J55" s="317"/>
      <c r="K55" s="317"/>
      <c r="L55" s="317"/>
      <c r="M55" s="317"/>
      <c r="N55" s="317"/>
      <c r="O55" s="317"/>
      <c r="P55" s="317"/>
      <c r="Q55" s="317"/>
      <c r="R55" s="317"/>
      <c r="S55" s="317"/>
      <c r="T55" s="317"/>
    </row>
    <row r="56" spans="2:20" ht="18.7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16" t="s">
        <v>82</v>
      </c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5"/>
      <c r="O57" s="5"/>
      <c r="P57" s="5"/>
      <c r="Q57" s="5"/>
      <c r="R57" s="5"/>
    </row>
    <row r="58" spans="2:20" ht="18.7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8.75" x14ac:dyDescent="0.3">
      <c r="B59" s="5" t="s">
        <v>25</v>
      </c>
      <c r="C59" s="8">
        <f>SUM(C118)</f>
        <v>9146842.9499999993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8.75" x14ac:dyDescent="0.3">
      <c r="B60" s="5" t="s">
        <v>26</v>
      </c>
      <c r="C60" s="8">
        <v>2762346.54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8.75" x14ac:dyDescent="0.3">
      <c r="B61" s="5" t="s">
        <v>27</v>
      </c>
      <c r="C61" s="8">
        <f>SUM(C131)</f>
        <v>575527.19832772948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8.75" x14ac:dyDescent="0.3">
      <c r="B62" s="9" t="s">
        <v>28</v>
      </c>
      <c r="C62" s="14">
        <f>SUM(C59:C61)</f>
        <v>12484716.688327728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35" customHeight="1" x14ac:dyDescent="0.3">
      <c r="B65" s="318" t="s">
        <v>67</v>
      </c>
      <c r="C65" s="319"/>
      <c r="D65" s="319"/>
      <c r="E65" s="319"/>
      <c r="F65" s="319"/>
      <c r="G65" s="319"/>
      <c r="H65" s="319"/>
      <c r="I65" s="319"/>
      <c r="J65" s="319"/>
      <c r="K65" s="319"/>
    </row>
    <row r="66" spans="2:12" ht="18.75" x14ac:dyDescent="0.3">
      <c r="B66" s="5" t="s">
        <v>63</v>
      </c>
      <c r="C66" s="5"/>
      <c r="D66" s="5"/>
      <c r="E66" s="5"/>
      <c r="F66" s="5"/>
      <c r="G66" s="5"/>
      <c r="H66" s="5"/>
    </row>
    <row r="67" spans="2:12" ht="18.7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8.75" x14ac:dyDescent="0.3">
      <c r="B68" s="5"/>
      <c r="C68" s="5"/>
      <c r="D68" s="5"/>
      <c r="E68" s="5"/>
      <c r="F68" s="5"/>
      <c r="G68" s="5"/>
      <c r="H68" s="5"/>
    </row>
    <row r="69" spans="2:12" ht="18.7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8.75" x14ac:dyDescent="0.3">
      <c r="B70" s="5"/>
      <c r="C70" s="5"/>
      <c r="D70" s="5"/>
      <c r="E70" s="5"/>
      <c r="F70" s="5"/>
      <c r="G70" s="5"/>
      <c r="H70" s="5"/>
    </row>
    <row r="71" spans="2:12" ht="18.75" x14ac:dyDescent="0.3">
      <c r="B71" s="5" t="s">
        <v>31</v>
      </c>
      <c r="C71" s="8">
        <f>SUM(C10)</f>
        <v>81234.468921341686</v>
      </c>
      <c r="D71" s="5"/>
      <c r="E71" s="5"/>
      <c r="F71" s="5"/>
      <c r="G71" s="5"/>
      <c r="H71" s="5"/>
    </row>
    <row r="72" spans="2:12" ht="18.75" x14ac:dyDescent="0.3">
      <c r="B72" s="5" t="s">
        <v>32</v>
      </c>
      <c r="C72" s="8">
        <f>SUM(C10)*1470</f>
        <v>119414669.31437227</v>
      </c>
      <c r="D72" s="5"/>
      <c r="E72" s="5"/>
      <c r="F72" s="5"/>
      <c r="G72" s="5"/>
      <c r="H72" s="5"/>
    </row>
    <row r="73" spans="2:12" ht="18.75" x14ac:dyDescent="0.3">
      <c r="B73" s="9"/>
      <c r="C73" s="9"/>
      <c r="D73" s="5"/>
      <c r="E73" s="5"/>
      <c r="F73" s="5"/>
      <c r="G73" s="5"/>
      <c r="H73" s="5"/>
    </row>
    <row r="74" spans="2:12" ht="18.75" x14ac:dyDescent="0.3">
      <c r="B74" s="9" t="s">
        <v>22</v>
      </c>
      <c r="C74" s="9">
        <f>SUM(C71/C72)</f>
        <v>6.8027210884353748E-4</v>
      </c>
      <c r="D74" s="5"/>
      <c r="E74" s="5"/>
      <c r="F74" s="5"/>
      <c r="G74" s="5"/>
      <c r="H74" s="5"/>
    </row>
    <row r="76" spans="2:12" ht="47.1" customHeight="1" x14ac:dyDescent="0.3">
      <c r="B76" s="318" t="s">
        <v>68</v>
      </c>
      <c r="C76" s="316"/>
      <c r="D76" s="316"/>
      <c r="E76" s="316"/>
      <c r="F76" s="316"/>
      <c r="G76" s="316"/>
      <c r="H76" s="316"/>
      <c r="I76" s="316"/>
      <c r="J76" s="316"/>
      <c r="K76" s="316"/>
      <c r="L76" s="316"/>
    </row>
    <row r="77" spans="2:12" ht="18.7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8.7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8.7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8.7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8.7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16" t="s">
        <v>69</v>
      </c>
      <c r="C82" s="319"/>
      <c r="D82" s="319"/>
      <c r="E82" s="319"/>
      <c r="F82" s="319"/>
      <c r="G82" s="319"/>
      <c r="H82" s="319"/>
      <c r="I82" s="319"/>
      <c r="J82" s="319"/>
      <c r="K82" s="319"/>
      <c r="L82" s="5"/>
    </row>
    <row r="83" spans="2:15" ht="18.7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8.75" x14ac:dyDescent="0.3">
      <c r="B84" s="5" t="s">
        <v>35</v>
      </c>
      <c r="C84" s="8">
        <f>SUM(C103)</f>
        <v>6074022.002700001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8.75" x14ac:dyDescent="0.3">
      <c r="B85" s="5" t="s">
        <v>36</v>
      </c>
      <c r="C85" s="5">
        <f>SUM(E120)</f>
        <v>6.1581480185169866E-4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8.75" x14ac:dyDescent="0.3">
      <c r="B86" s="9" t="s">
        <v>37</v>
      </c>
      <c r="C86" s="9">
        <f>SUM(C84*C85)</f>
        <v>3740.4726560355589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45" customHeight="1" x14ac:dyDescent="0.3">
      <c r="B89" s="318" t="s">
        <v>70</v>
      </c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M89" s="317"/>
      <c r="N89" s="317"/>
      <c r="O89" s="317"/>
    </row>
    <row r="90" spans="2:15" ht="18.75" x14ac:dyDescent="0.3">
      <c r="B90" s="5" t="s">
        <v>387</v>
      </c>
      <c r="C90" s="5"/>
      <c r="D90" s="5"/>
      <c r="E90" s="5"/>
      <c r="F90" s="5"/>
    </row>
    <row r="91" spans="2:15" ht="18.75" x14ac:dyDescent="0.3">
      <c r="B91" s="5" t="s">
        <v>2</v>
      </c>
      <c r="C91" s="5"/>
      <c r="D91" s="5"/>
      <c r="E91" s="5"/>
      <c r="F91" s="5"/>
    </row>
    <row r="92" spans="2:15" ht="18.75" x14ac:dyDescent="0.3">
      <c r="B92" s="5"/>
      <c r="C92" s="5"/>
      <c r="D92" s="5"/>
      <c r="E92" s="5"/>
      <c r="F92" s="5"/>
    </row>
    <row r="93" spans="2:15" ht="18.75" x14ac:dyDescent="0.3">
      <c r="B93" s="5" t="s">
        <v>388</v>
      </c>
      <c r="C93" s="5"/>
      <c r="D93" s="5"/>
      <c r="E93" s="5"/>
      <c r="F93" s="5"/>
    </row>
    <row r="94" spans="2:15" ht="18.75" x14ac:dyDescent="0.3">
      <c r="B94" s="5"/>
      <c r="C94" s="5"/>
      <c r="D94" s="5"/>
      <c r="E94" s="5"/>
      <c r="F94" s="5"/>
    </row>
    <row r="95" spans="2:15" ht="18.75" x14ac:dyDescent="0.3">
      <c r="B95" s="5" t="s">
        <v>389</v>
      </c>
      <c r="C95" s="5"/>
      <c r="D95" s="5"/>
      <c r="E95" s="5"/>
      <c r="F95" s="5"/>
    </row>
    <row r="96" spans="2:15" ht="18.75" x14ac:dyDescent="0.3">
      <c r="B96" s="5"/>
      <c r="C96" s="5"/>
      <c r="D96" s="5"/>
      <c r="E96" s="5"/>
      <c r="F96" s="5"/>
    </row>
    <row r="97" spans="2:23" ht="18.75" x14ac:dyDescent="0.3">
      <c r="B97" s="5" t="s">
        <v>390</v>
      </c>
      <c r="C97" s="5"/>
      <c r="D97" s="5"/>
      <c r="E97" s="5"/>
      <c r="F97" s="5"/>
    </row>
    <row r="98" spans="2:23" ht="18.75" x14ac:dyDescent="0.3">
      <c r="B98" s="5"/>
      <c r="C98" s="5"/>
      <c r="D98" s="5"/>
      <c r="E98" s="5"/>
      <c r="F98" s="5"/>
    </row>
    <row r="99" spans="2:23" ht="18.75" x14ac:dyDescent="0.3">
      <c r="B99" s="5" t="s">
        <v>391</v>
      </c>
      <c r="C99" s="5"/>
      <c r="D99" s="5"/>
      <c r="E99" s="5"/>
      <c r="F99" s="5"/>
    </row>
    <row r="100" spans="2:23" ht="18.75" x14ac:dyDescent="0.3">
      <c r="B100" s="5"/>
      <c r="C100" s="5"/>
      <c r="D100" s="5"/>
      <c r="E100" s="5"/>
      <c r="F100" s="5"/>
    </row>
    <row r="101" spans="2:23" ht="18.75" x14ac:dyDescent="0.3">
      <c r="B101" s="5" t="s">
        <v>392</v>
      </c>
      <c r="C101" s="5"/>
      <c r="D101" s="5"/>
      <c r="E101" s="5"/>
      <c r="F101" s="5"/>
    </row>
    <row r="102" spans="2:23" ht="18.75" x14ac:dyDescent="0.3">
      <c r="B102" s="5"/>
      <c r="C102" s="5"/>
      <c r="D102" s="5"/>
      <c r="E102" s="5"/>
      <c r="F102" s="5"/>
    </row>
    <row r="103" spans="2:23" ht="18.75" x14ac:dyDescent="0.3">
      <c r="B103" s="9" t="s">
        <v>38</v>
      </c>
      <c r="C103" s="14">
        <f>SUM('[1]2022,'!$F$430-'[1]2022,'!$F$73-'[1]2022,'!$F$20)-77920+2.41-994182+1040789+3.59</f>
        <v>6074022.002700001</v>
      </c>
      <c r="D103" s="5"/>
      <c r="E103" s="5"/>
      <c r="F103" s="5"/>
    </row>
    <row r="106" spans="2:23" ht="50.85" customHeight="1" x14ac:dyDescent="0.3">
      <c r="B106" s="318" t="s">
        <v>71</v>
      </c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9"/>
    </row>
    <row r="107" spans="2:23" ht="18.7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8.7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8.7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85" customHeight="1" x14ac:dyDescent="0.3">
      <c r="B110" s="316" t="s">
        <v>72</v>
      </c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M110" s="317"/>
      <c r="N110" s="317"/>
      <c r="O110" s="5"/>
      <c r="P110" s="5"/>
      <c r="Q110" s="5"/>
      <c r="R110" s="5"/>
      <c r="S110" s="5"/>
      <c r="T110" s="5"/>
      <c r="U110" s="5"/>
    </row>
    <row r="111" spans="2:23" ht="18.7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8.95" customHeight="1" x14ac:dyDescent="0.3">
      <c r="B112" s="316" t="s">
        <v>73</v>
      </c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M112" s="317"/>
      <c r="N112" s="317"/>
      <c r="O112" s="317"/>
      <c r="P112" s="317"/>
      <c r="Q112" s="317"/>
      <c r="R112" s="317"/>
      <c r="S112" s="317"/>
      <c r="T112" s="317"/>
      <c r="U112" s="317"/>
      <c r="V112" s="317"/>
      <c r="W112" s="317"/>
    </row>
    <row r="113" spans="2:21" ht="18.7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8.75" x14ac:dyDescent="0.3">
      <c r="B114" s="5" t="s">
        <v>41</v>
      </c>
      <c r="C114" s="8">
        <v>87387474.620000005</v>
      </c>
      <c r="D114" s="5">
        <v>1470</v>
      </c>
      <c r="E114" s="5">
        <f>C114/D114</f>
        <v>59447.261646258507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8.7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8.75" x14ac:dyDescent="0.3">
      <c r="B116" s="5" t="s">
        <v>41</v>
      </c>
      <c r="C116" s="23">
        <f>SUM(E114*D114)</f>
        <v>87387474.620000005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8.7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8.75" x14ac:dyDescent="0.3">
      <c r="B118" s="5" t="s">
        <v>83</v>
      </c>
      <c r="C118" s="24">
        <v>9146842.9499999993</v>
      </c>
      <c r="D118" s="5"/>
      <c r="E118" s="5"/>
      <c r="F118" s="8"/>
      <c r="G118" s="1"/>
    </row>
    <row r="119" spans="2:21" ht="18.75" x14ac:dyDescent="0.3">
      <c r="B119" s="5"/>
      <c r="C119" s="5"/>
      <c r="D119" s="5"/>
      <c r="E119" s="5"/>
      <c r="F119" s="5"/>
    </row>
    <row r="120" spans="2:21" ht="18.75" x14ac:dyDescent="0.3">
      <c r="B120" s="9" t="s">
        <v>43</v>
      </c>
      <c r="C120" s="5">
        <f>SUM(E114)</f>
        <v>59447.261646258507</v>
      </c>
      <c r="D120" s="5">
        <f>SUM(C116+C118)</f>
        <v>96534317.570000008</v>
      </c>
      <c r="E120" s="9">
        <f>SUM(C120/D120)</f>
        <v>6.1581480185169866E-4</v>
      </c>
      <c r="F120" s="5"/>
    </row>
    <row r="122" spans="2:21" ht="18.75" x14ac:dyDescent="0.3">
      <c r="B122" s="9" t="s">
        <v>64</v>
      </c>
      <c r="C122" s="9"/>
      <c r="D122" s="9"/>
      <c r="E122" s="9"/>
      <c r="F122" s="9"/>
      <c r="G122" s="9"/>
    </row>
    <row r="123" spans="2:21" ht="18.75" x14ac:dyDescent="0.3">
      <c r="B123" s="5" t="s">
        <v>44</v>
      </c>
      <c r="C123" s="5"/>
      <c r="D123" s="5"/>
      <c r="E123" s="5"/>
      <c r="F123" s="5"/>
      <c r="G123" s="5"/>
      <c r="H123" s="5"/>
      <c r="I123" s="5"/>
    </row>
    <row r="124" spans="2:21" ht="18.7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8.7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8.75" x14ac:dyDescent="0.3">
      <c r="B126" s="5" t="s">
        <v>45</v>
      </c>
      <c r="C126" s="5"/>
      <c r="D126" s="5"/>
      <c r="E126" s="5"/>
      <c r="F126" s="5"/>
      <c r="G126" s="5"/>
      <c r="H126" s="5"/>
      <c r="I126" s="5"/>
    </row>
    <row r="127" spans="2:21" ht="18.75" x14ac:dyDescent="0.3">
      <c r="B127" s="5" t="s">
        <v>46</v>
      </c>
      <c r="C127" s="5"/>
      <c r="D127" s="5"/>
      <c r="E127" s="5"/>
      <c r="F127" s="5"/>
      <c r="G127" s="5"/>
      <c r="H127" s="5"/>
      <c r="I127" s="5"/>
    </row>
    <row r="128" spans="2:21" ht="18.7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8.75" x14ac:dyDescent="0.3">
      <c r="B129" s="5" t="s">
        <v>47</v>
      </c>
      <c r="C129" s="8">
        <f>SUM(C103)</f>
        <v>6074022.002700001</v>
      </c>
      <c r="D129" s="5"/>
      <c r="E129" s="5"/>
      <c r="F129" s="5"/>
      <c r="G129" s="5"/>
      <c r="H129" s="5"/>
      <c r="I129" s="5"/>
    </row>
    <row r="130" spans="2:13" ht="18.75" x14ac:dyDescent="0.3">
      <c r="B130" s="5" t="s">
        <v>48</v>
      </c>
      <c r="C130" s="8">
        <f>SUM(C86)*1470</f>
        <v>5498494.8043722715</v>
      </c>
      <c r="D130" s="5"/>
      <c r="E130" s="5"/>
      <c r="F130" s="5"/>
      <c r="G130" s="5"/>
      <c r="H130" s="5"/>
      <c r="I130" s="5"/>
    </row>
    <row r="131" spans="2:13" ht="18.75" x14ac:dyDescent="0.3">
      <c r="B131" s="9" t="s">
        <v>49</v>
      </c>
      <c r="C131" s="14">
        <f>SUM(C129-C130)</f>
        <v>575527.19832772948</v>
      </c>
      <c r="D131" s="5"/>
      <c r="E131" s="5"/>
      <c r="F131" s="5"/>
      <c r="G131" s="5"/>
      <c r="H131" s="5"/>
      <c r="I131" s="5"/>
    </row>
    <row r="133" spans="2:13" ht="15.75" x14ac:dyDescent="0.25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75" x14ac:dyDescent="0.25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4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75" x14ac:dyDescent="0.25">
      <c r="B136" s="13" t="s">
        <v>65</v>
      </c>
      <c r="C136" s="4"/>
      <c r="D136" s="4"/>
    </row>
    <row r="137" spans="2:13" ht="15.75" x14ac:dyDescent="0.25">
      <c r="B137" s="13" t="s">
        <v>74</v>
      </c>
      <c r="C137" s="4"/>
      <c r="D137" s="4"/>
    </row>
    <row r="142" spans="2:13" x14ac:dyDescent="0.25">
      <c r="C142">
        <v>211</v>
      </c>
      <c r="D142" s="3">
        <f>SUM(C28+C59)</f>
        <v>96534317.570000008</v>
      </c>
      <c r="E142" s="1">
        <f>SUM('[2]ЗАПОЛНИТЬ ЮЛЯ (2)'!E20+'[2]ЗАПОЛНИТЬ ЮЛЯ (2)'!E22+'[2]ЗАПОЛНИТЬ ЮЛЯ (2)'!E23+'[2]ЗАПОЛНИТЬ ЮЛЯ (2)'!E222+'[2]ЗАПОЛНИТЬ ЮЛЯ (2)'!E224+'[2]ЗАПОЛНИТЬ ЮЛЯ (2)'!E225)</f>
        <v>91389450</v>
      </c>
      <c r="J142" s="3">
        <f>SUM(D142-E142)</f>
        <v>5144867.5700000077</v>
      </c>
    </row>
    <row r="143" spans="2:13" x14ac:dyDescent="0.25">
      <c r="B143" s="1">
        <f>SUM(D142:D143)</f>
        <v>125825364</v>
      </c>
      <c r="C143">
        <v>213</v>
      </c>
      <c r="D143" s="1">
        <f>SUM(C29+C60)</f>
        <v>29291046.43</v>
      </c>
      <c r="E143" s="1">
        <f>SUM('[2]ЗАПОЛНИТЬ ЮЛЯ (2)'!E21+'[2]ЗАПОЛНИТЬ ЮЛЯ (2)'!E24+'[2]ЗАПОЛНИТЬ ЮЛЯ (2)'!E223+'[2]ЗАПОЛНИТЬ ЮЛЯ (2)'!E226)</f>
        <v>27599614.000659999</v>
      </c>
      <c r="F143" s="1">
        <f>SUM(E142:E143)</f>
        <v>118989064.00066</v>
      </c>
      <c r="G143" s="1">
        <f>SUM(D142:D143)</f>
        <v>125825364</v>
      </c>
      <c r="H143">
        <v>118989064</v>
      </c>
      <c r="I143" s="1">
        <f>SUM(G143-H143)</f>
        <v>6836300</v>
      </c>
      <c r="J143" s="1">
        <f>SUM(D143-E143)</f>
        <v>1691432.4293400012</v>
      </c>
    </row>
    <row r="144" spans="2:13" x14ac:dyDescent="0.25">
      <c r="C144">
        <v>244</v>
      </c>
      <c r="D144" s="1">
        <f>SUM(C103)</f>
        <v>6074022.002700001</v>
      </c>
      <c r="G144">
        <v>6105229</v>
      </c>
      <c r="H144" s="1">
        <f>SUM(D144-G144)</f>
        <v>-31206.997299998999</v>
      </c>
    </row>
    <row r="145" spans="4:10" x14ac:dyDescent="0.25">
      <c r="D145" s="1">
        <f>SUM(D142:D144)</f>
        <v>131899386.0027</v>
      </c>
      <c r="E145">
        <v>14000000</v>
      </c>
      <c r="F145" s="1">
        <f>252607+100</f>
        <v>252707</v>
      </c>
      <c r="G145" s="1">
        <f>SUM(D145-E145+F145)</f>
        <v>118152093.0027</v>
      </c>
    </row>
    <row r="146" spans="4:10" x14ac:dyDescent="0.25">
      <c r="D146" s="2">
        <v>125094293</v>
      </c>
    </row>
    <row r="147" spans="4:10" x14ac:dyDescent="0.25">
      <c r="D147" s="1">
        <f>SUM(D145-D146)</f>
        <v>6805093.002700001</v>
      </c>
      <c r="G147" s="1">
        <f>SUM(G145+G146)</f>
        <v>118152093.0027</v>
      </c>
      <c r="J147" s="1"/>
    </row>
  </sheetData>
  <mergeCells count="14">
    <mergeCell ref="B16:K16"/>
    <mergeCell ref="B21:K21"/>
    <mergeCell ref="B23:K23"/>
    <mergeCell ref="B39:J39"/>
    <mergeCell ref="B53:L53"/>
    <mergeCell ref="B106:O106"/>
    <mergeCell ref="B110:N110"/>
    <mergeCell ref="B112:W112"/>
    <mergeCell ref="B55:T55"/>
    <mergeCell ref="B57:M57"/>
    <mergeCell ref="B65:K65"/>
    <mergeCell ref="B76:L76"/>
    <mergeCell ref="B82:K82"/>
    <mergeCell ref="B89:O89"/>
  </mergeCells>
  <pageMargins left="0.78740157480314965" right="0" top="0" bottom="0" header="0" footer="0"/>
  <pageSetup paperSize="9" scale="64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5:Z415"/>
  <sheetViews>
    <sheetView view="pageBreakPreview" topLeftCell="A10" zoomScale="88" zoomScaleNormal="100" zoomScaleSheetLayoutView="88" workbookViewId="0">
      <selection activeCell="C186" sqref="C186"/>
    </sheetView>
  </sheetViews>
  <sheetFormatPr defaultColWidth="9.140625" defaultRowHeight="15" x14ac:dyDescent="0.25"/>
  <cols>
    <col min="2" max="2" width="45.28515625" customWidth="1"/>
    <col min="3" max="3" width="20" customWidth="1"/>
    <col min="4" max="4" width="23.28515625" customWidth="1"/>
    <col min="5" max="5" width="17" customWidth="1"/>
    <col min="6" max="6" width="19.5703125" customWidth="1"/>
    <col min="7" max="7" width="19" customWidth="1"/>
    <col min="8" max="9" width="18.7109375" customWidth="1"/>
    <col min="10" max="10" width="10.140625" customWidth="1"/>
    <col min="11" max="11" width="15.5703125" customWidth="1"/>
  </cols>
  <sheetData>
    <row r="5" spans="2:26" ht="15.75" x14ac:dyDescent="0.3">
      <c r="B5" s="318" t="s">
        <v>347</v>
      </c>
      <c r="C5" s="317"/>
      <c r="D5" s="317"/>
      <c r="E5" s="317"/>
      <c r="F5" s="317"/>
      <c r="G5" s="317"/>
      <c r="H5" s="317"/>
      <c r="I5" s="317"/>
      <c r="J5" s="317"/>
      <c r="K5" s="317"/>
      <c r="L5" s="317"/>
      <c r="M5" s="317"/>
      <c r="N5" s="317"/>
      <c r="O5" s="317"/>
    </row>
    <row r="6" spans="2:26" ht="18.75" x14ac:dyDescent="0.3">
      <c r="C6" s="9" t="s">
        <v>380</v>
      </c>
    </row>
    <row r="7" spans="2:26" ht="48.2" customHeight="1" x14ac:dyDescent="0.25">
      <c r="B7" s="324" t="s">
        <v>349</v>
      </c>
      <c r="C7" s="324"/>
      <c r="D7" s="324"/>
      <c r="E7" s="324"/>
      <c r="F7" s="324"/>
      <c r="G7" s="324"/>
      <c r="H7" s="324"/>
      <c r="I7" s="324"/>
      <c r="J7" s="324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10" spans="2:26" ht="38.25" customHeight="1" x14ac:dyDescent="0.25">
      <c r="B10" s="324" t="s">
        <v>362</v>
      </c>
      <c r="C10" s="324"/>
      <c r="D10" s="324"/>
      <c r="E10" s="324"/>
      <c r="F10" s="324"/>
      <c r="G10" s="324"/>
      <c r="H10" s="324"/>
      <c r="I10" s="324"/>
      <c r="J10" s="324"/>
      <c r="K10" s="6"/>
      <c r="L10" s="6"/>
      <c r="M10" s="6"/>
      <c r="N10" s="6"/>
      <c r="O10" s="6"/>
    </row>
    <row r="12" spans="2:26" ht="54.6" customHeight="1" x14ac:dyDescent="0.25">
      <c r="B12" s="46" t="s">
        <v>101</v>
      </c>
      <c r="C12" s="47" t="s">
        <v>102</v>
      </c>
      <c r="D12" s="47" t="s">
        <v>103</v>
      </c>
      <c r="E12" s="47" t="s">
        <v>104</v>
      </c>
      <c r="F12" s="15"/>
    </row>
    <row r="13" spans="2:26" ht="102" customHeight="1" x14ac:dyDescent="0.25">
      <c r="B13" s="48" t="s">
        <v>378</v>
      </c>
      <c r="C13" s="49">
        <f>SUM([2]Лист7!A2)</f>
        <v>70970276.390000001</v>
      </c>
      <c r="D13" s="49">
        <v>4908057.2699999996</v>
      </c>
      <c r="E13" s="49">
        <f t="shared" ref="E13:E19" si="0">SUM(C13:D13)</f>
        <v>75878333.659999996</v>
      </c>
      <c r="F13" s="15"/>
      <c r="G13" s="1"/>
      <c r="H13" s="1"/>
      <c r="I13" s="1"/>
    </row>
    <row r="14" spans="2:26" ht="102" customHeight="1" x14ac:dyDescent="0.25">
      <c r="B14" s="48" t="s">
        <v>369</v>
      </c>
      <c r="C14" s="49">
        <f>SUM([2]Лист7!G2)</f>
        <v>21298484.079779997</v>
      </c>
      <c r="D14" s="49">
        <f>1460221.27</f>
        <v>1460221.27</v>
      </c>
      <c r="E14" s="49">
        <f t="shared" si="0"/>
        <v>22758705.349779997</v>
      </c>
      <c r="F14" s="15"/>
      <c r="G14" s="1"/>
      <c r="H14" s="1"/>
      <c r="I14" s="1"/>
    </row>
    <row r="15" spans="2:26" ht="30" x14ac:dyDescent="0.25">
      <c r="B15" s="219" t="s">
        <v>351</v>
      </c>
      <c r="C15" s="49">
        <v>8492341.6199999992</v>
      </c>
      <c r="D15" s="49"/>
      <c r="E15" s="49">
        <f t="shared" si="0"/>
        <v>8492341.6199999992</v>
      </c>
      <c r="F15" s="51"/>
      <c r="G15" s="1"/>
      <c r="H15" s="1"/>
      <c r="I15" s="1"/>
    </row>
    <row r="16" spans="2:26" x14ac:dyDescent="0.25">
      <c r="B16" s="50" t="s">
        <v>105</v>
      </c>
      <c r="C16" s="49"/>
      <c r="D16" s="49">
        <f>3120132.21+15364.39-118697.26</f>
        <v>3016799.3400000003</v>
      </c>
      <c r="E16" s="49">
        <f t="shared" si="0"/>
        <v>3016799.3400000003</v>
      </c>
      <c r="F16" s="15"/>
      <c r="G16" s="1"/>
    </row>
    <row r="17" spans="2:11" x14ac:dyDescent="0.25">
      <c r="B17" s="50" t="s">
        <v>106</v>
      </c>
      <c r="C17" s="49">
        <v>2702369.72</v>
      </c>
      <c r="D17" s="49">
        <f>948927.56-0.2+118697.46</f>
        <v>1067624.82</v>
      </c>
      <c r="E17" s="49">
        <f t="shared" si="0"/>
        <v>3769994.54</v>
      </c>
      <c r="F17" s="251"/>
      <c r="G17" s="173"/>
      <c r="H17" s="1"/>
    </row>
    <row r="18" spans="2:11" x14ac:dyDescent="0.25">
      <c r="B18" s="50"/>
      <c r="C18" s="49"/>
      <c r="D18" s="49"/>
      <c r="E18" s="49">
        <f t="shared" si="0"/>
        <v>0</v>
      </c>
      <c r="F18" s="51"/>
    </row>
    <row r="19" spans="2:11" x14ac:dyDescent="0.25">
      <c r="B19" s="50"/>
      <c r="C19" s="52">
        <f>SUM(C13:C18)</f>
        <v>103463471.80978</v>
      </c>
      <c r="D19" s="52">
        <f>SUM(D13:D18)</f>
        <v>10452702.699999999</v>
      </c>
      <c r="E19" s="52">
        <f t="shared" si="0"/>
        <v>113916174.50978</v>
      </c>
      <c r="F19" s="51"/>
      <c r="H19" s="1">
        <f>SUM('расчет подушевого 2023'!C28:C29)</f>
        <v>113916174.51000001</v>
      </c>
    </row>
    <row r="20" spans="2:11" ht="58.35" customHeight="1" x14ac:dyDescent="0.25">
      <c r="B20" s="324" t="s">
        <v>348</v>
      </c>
      <c r="C20" s="317"/>
      <c r="D20" s="317"/>
      <c r="E20" s="317"/>
      <c r="F20" s="317"/>
      <c r="G20" s="317"/>
      <c r="H20" s="317"/>
      <c r="I20" s="317"/>
      <c r="J20" s="317"/>
      <c r="K20" s="317"/>
    </row>
    <row r="22" spans="2:11" ht="15.75" thickBot="1" x14ac:dyDescent="0.3"/>
    <row r="23" spans="2:11" ht="15.75" thickBot="1" x14ac:dyDescent="0.3">
      <c r="B23" s="53" t="s">
        <v>107</v>
      </c>
      <c r="C23" s="53" t="s">
        <v>108</v>
      </c>
      <c r="D23" s="53" t="s">
        <v>109</v>
      </c>
      <c r="E23" s="252" t="s">
        <v>110</v>
      </c>
      <c r="F23" s="253" t="s">
        <v>111</v>
      </c>
      <c r="G23" s="54"/>
    </row>
    <row r="24" spans="2:11" ht="15" customHeight="1" x14ac:dyDescent="0.25">
      <c r="B24" s="326" t="s">
        <v>112</v>
      </c>
      <c r="C24" s="326"/>
      <c r="D24" s="56"/>
      <c r="E24" s="56"/>
      <c r="F24" s="252"/>
      <c r="G24" s="54"/>
    </row>
    <row r="25" spans="2:11" x14ac:dyDescent="0.25">
      <c r="B25" s="57" t="s">
        <v>113</v>
      </c>
      <c r="C25" s="57" t="s">
        <v>114</v>
      </c>
      <c r="D25" s="57">
        <v>35</v>
      </c>
      <c r="E25" s="58">
        <v>4766.67</v>
      </c>
      <c r="F25" s="59">
        <f t="shared" ref="F25:F34" si="1">D25*E25</f>
        <v>166833.45000000001</v>
      </c>
      <c r="G25" s="60"/>
    </row>
    <row r="26" spans="2:11" x14ac:dyDescent="0.25">
      <c r="B26" s="57" t="s">
        <v>115</v>
      </c>
      <c r="C26" s="57" t="s">
        <v>114</v>
      </c>
      <c r="D26" s="57">
        <v>156</v>
      </c>
      <c r="E26" s="58">
        <v>470</v>
      </c>
      <c r="F26" s="59">
        <f t="shared" si="1"/>
        <v>73320</v>
      </c>
      <c r="G26" s="60"/>
    </row>
    <row r="27" spans="2:11" x14ac:dyDescent="0.25">
      <c r="B27" s="57" t="s">
        <v>116</v>
      </c>
      <c r="C27" s="57" t="s">
        <v>114</v>
      </c>
      <c r="D27" s="57">
        <v>53</v>
      </c>
      <c r="E27" s="58">
        <v>3433.33</v>
      </c>
      <c r="F27" s="59">
        <f t="shared" si="1"/>
        <v>181966.49</v>
      </c>
      <c r="G27" s="60"/>
    </row>
    <row r="28" spans="2:11" x14ac:dyDescent="0.25">
      <c r="B28" s="57" t="s">
        <v>117</v>
      </c>
      <c r="C28" s="57" t="s">
        <v>114</v>
      </c>
      <c r="D28" s="57">
        <v>139</v>
      </c>
      <c r="E28" s="58">
        <v>1900</v>
      </c>
      <c r="F28" s="59">
        <f t="shared" si="1"/>
        <v>264100</v>
      </c>
      <c r="G28" s="60"/>
    </row>
    <row r="29" spans="2:11" x14ac:dyDescent="0.25">
      <c r="B29" s="57" t="s">
        <v>118</v>
      </c>
      <c r="C29" s="57" t="s">
        <v>114</v>
      </c>
      <c r="D29" s="57">
        <v>59</v>
      </c>
      <c r="E29" s="58">
        <v>656.67</v>
      </c>
      <c r="F29" s="59">
        <f t="shared" si="1"/>
        <v>38743.53</v>
      </c>
      <c r="G29" s="60"/>
    </row>
    <row r="30" spans="2:11" x14ac:dyDescent="0.25">
      <c r="B30" s="57" t="s">
        <v>119</v>
      </c>
      <c r="C30" s="57" t="s">
        <v>114</v>
      </c>
      <c r="D30" s="57">
        <v>189</v>
      </c>
      <c r="E30" s="58">
        <v>276.67</v>
      </c>
      <c r="F30" s="59">
        <f t="shared" si="1"/>
        <v>52290.630000000005</v>
      </c>
      <c r="G30" s="60"/>
    </row>
    <row r="31" spans="2:11" x14ac:dyDescent="0.25">
      <c r="B31" s="57" t="s">
        <v>120</v>
      </c>
      <c r="C31" s="57" t="s">
        <v>114</v>
      </c>
      <c r="D31" s="57">
        <v>51</v>
      </c>
      <c r="E31" s="58">
        <v>360</v>
      </c>
      <c r="F31" s="59">
        <f t="shared" si="1"/>
        <v>18360</v>
      </c>
      <c r="G31" s="60"/>
    </row>
    <row r="32" spans="2:11" x14ac:dyDescent="0.25">
      <c r="B32" s="57" t="s">
        <v>121</v>
      </c>
      <c r="C32" s="57" t="s">
        <v>114</v>
      </c>
      <c r="D32" s="57">
        <v>365</v>
      </c>
      <c r="E32" s="58">
        <v>293.33</v>
      </c>
      <c r="F32" s="59">
        <f t="shared" si="1"/>
        <v>107065.45</v>
      </c>
      <c r="G32" s="60"/>
    </row>
    <row r="33" spans="2:7" x14ac:dyDescent="0.25">
      <c r="B33" s="57" t="s">
        <v>122</v>
      </c>
      <c r="C33" s="57" t="s">
        <v>114</v>
      </c>
      <c r="D33" s="57">
        <v>179</v>
      </c>
      <c r="E33" s="58">
        <v>2066.67</v>
      </c>
      <c r="F33" s="59">
        <f t="shared" si="1"/>
        <v>369933.93</v>
      </c>
      <c r="G33" s="60"/>
    </row>
    <row r="34" spans="2:7" x14ac:dyDescent="0.25">
      <c r="B34" s="57" t="s">
        <v>123</v>
      </c>
      <c r="C34" s="57" t="s">
        <v>114</v>
      </c>
      <c r="D34" s="57">
        <v>180</v>
      </c>
      <c r="E34" s="58">
        <v>780</v>
      </c>
      <c r="F34" s="59">
        <f t="shared" si="1"/>
        <v>140400</v>
      </c>
      <c r="G34" s="60"/>
    </row>
    <row r="35" spans="2:7" x14ac:dyDescent="0.25">
      <c r="B35" s="61"/>
      <c r="C35" s="62"/>
      <c r="D35" s="57"/>
      <c r="E35" s="58"/>
      <c r="F35" s="63">
        <f>SUM(F25:F34)</f>
        <v>1413013.48</v>
      </c>
      <c r="G35" s="60"/>
    </row>
    <row r="36" spans="2:7" ht="13.5" customHeight="1" x14ac:dyDescent="0.25">
      <c r="B36" s="326" t="s">
        <v>124</v>
      </c>
      <c r="C36" s="326"/>
      <c r="D36" s="57"/>
      <c r="E36" s="58"/>
      <c r="F36" s="59"/>
      <c r="G36" s="60"/>
    </row>
    <row r="37" spans="2:7" ht="15.75" x14ac:dyDescent="0.25">
      <c r="B37" s="64" t="s">
        <v>125</v>
      </c>
      <c r="C37" s="65" t="s">
        <v>114</v>
      </c>
      <c r="D37" s="66">
        <v>1</v>
      </c>
      <c r="E37" s="67">
        <v>3295</v>
      </c>
      <c r="F37" s="59">
        <f>D37*E37</f>
        <v>3295</v>
      </c>
      <c r="G37" s="60"/>
    </row>
    <row r="38" spans="2:7" ht="15.75" x14ac:dyDescent="0.25">
      <c r="B38" s="68" t="s">
        <v>126</v>
      </c>
      <c r="C38" s="65" t="s">
        <v>114</v>
      </c>
      <c r="D38" s="66">
        <v>1</v>
      </c>
      <c r="E38" s="67">
        <v>350</v>
      </c>
      <c r="F38" s="59">
        <f>D38*E38</f>
        <v>350</v>
      </c>
      <c r="G38" s="60"/>
    </row>
    <row r="39" spans="2:7" x14ac:dyDescent="0.25">
      <c r="B39" s="57"/>
      <c r="C39" s="57"/>
      <c r="D39" s="57"/>
      <c r="E39" s="58"/>
      <c r="F39" s="63">
        <f>SUM(F37:F38)</f>
        <v>3645</v>
      </c>
      <c r="G39" s="60"/>
    </row>
    <row r="40" spans="2:7" x14ac:dyDescent="0.25">
      <c r="B40" s="337" t="s">
        <v>104</v>
      </c>
      <c r="C40" s="337"/>
      <c r="D40" s="57"/>
      <c r="E40" s="57"/>
      <c r="F40" s="63">
        <f>SUM(F35+F39)</f>
        <v>1416658.48</v>
      </c>
      <c r="G40" s="69"/>
    </row>
    <row r="41" spans="2:7" ht="15" customHeight="1" x14ac:dyDescent="0.25">
      <c r="B41" s="326" t="s">
        <v>112</v>
      </c>
      <c r="C41" s="326"/>
      <c r="D41" s="71"/>
      <c r="E41" s="50"/>
      <c r="F41" s="71"/>
      <c r="G41" s="72"/>
    </row>
    <row r="42" spans="2:7" ht="15.75" x14ac:dyDescent="0.25">
      <c r="B42" s="73"/>
      <c r="C42" s="74"/>
      <c r="D42" s="75"/>
      <c r="E42" s="76"/>
      <c r="F42" s="76"/>
      <c r="G42" s="77"/>
    </row>
    <row r="43" spans="2:7" ht="15.75" x14ac:dyDescent="0.25">
      <c r="B43" s="73" t="s">
        <v>130</v>
      </c>
      <c r="C43" s="74" t="s">
        <v>114</v>
      </c>
      <c r="D43" s="75">
        <v>60</v>
      </c>
      <c r="E43" s="76">
        <v>15.34</v>
      </c>
      <c r="F43" s="76">
        <f t="shared" ref="F43:F69" si="2">D43*E43</f>
        <v>920.4</v>
      </c>
      <c r="G43" s="77"/>
    </row>
    <row r="44" spans="2:7" ht="15.75" x14ac:dyDescent="0.25">
      <c r="B44" s="73" t="s">
        <v>131</v>
      </c>
      <c r="C44" s="74" t="s">
        <v>114</v>
      </c>
      <c r="D44" s="75">
        <v>1308</v>
      </c>
      <c r="E44" s="76">
        <v>6.59</v>
      </c>
      <c r="F44" s="76">
        <f t="shared" si="2"/>
        <v>8619.7199999999993</v>
      </c>
      <c r="G44" s="77"/>
    </row>
    <row r="45" spans="2:7" ht="15.75" x14ac:dyDescent="0.25">
      <c r="B45" s="73" t="s">
        <v>132</v>
      </c>
      <c r="C45" s="74" t="s">
        <v>114</v>
      </c>
      <c r="D45" s="75">
        <v>2010</v>
      </c>
      <c r="E45" s="76">
        <v>4.0999999999999996</v>
      </c>
      <c r="F45" s="76">
        <f t="shared" si="2"/>
        <v>8241</v>
      </c>
      <c r="G45" s="77"/>
    </row>
    <row r="46" spans="2:7" ht="15.75" x14ac:dyDescent="0.25">
      <c r="B46" s="73" t="s">
        <v>133</v>
      </c>
      <c r="C46" s="74" t="s">
        <v>114</v>
      </c>
      <c r="D46" s="75">
        <v>922</v>
      </c>
      <c r="E46" s="76">
        <v>7.43</v>
      </c>
      <c r="F46" s="76">
        <f t="shared" si="2"/>
        <v>6850.46</v>
      </c>
      <c r="G46" s="77"/>
    </row>
    <row r="47" spans="2:7" ht="15.75" x14ac:dyDescent="0.25">
      <c r="B47" s="73" t="s">
        <v>134</v>
      </c>
      <c r="C47" s="74" t="s">
        <v>114</v>
      </c>
      <c r="D47" s="75">
        <v>224</v>
      </c>
      <c r="E47" s="76">
        <v>54.29</v>
      </c>
      <c r="F47" s="76">
        <f t="shared" si="2"/>
        <v>12160.96</v>
      </c>
      <c r="G47" s="77"/>
    </row>
    <row r="48" spans="2:7" ht="15.75" x14ac:dyDescent="0.25">
      <c r="B48" s="73" t="s">
        <v>135</v>
      </c>
      <c r="C48" s="74" t="s">
        <v>114</v>
      </c>
      <c r="D48" s="75">
        <v>209</v>
      </c>
      <c r="E48" s="76">
        <v>8.08</v>
      </c>
      <c r="F48" s="76">
        <f t="shared" si="2"/>
        <v>1688.72</v>
      </c>
      <c r="G48" s="77"/>
    </row>
    <row r="49" spans="2:8" ht="15.75" x14ac:dyDescent="0.25">
      <c r="B49" s="73" t="s">
        <v>136</v>
      </c>
      <c r="C49" s="74" t="s">
        <v>114</v>
      </c>
      <c r="D49" s="75">
        <v>30</v>
      </c>
      <c r="E49" s="76">
        <v>17.98</v>
      </c>
      <c r="F49" s="76">
        <f t="shared" si="2"/>
        <v>539.4</v>
      </c>
      <c r="G49" s="77"/>
    </row>
    <row r="50" spans="2:8" ht="15.75" x14ac:dyDescent="0.25">
      <c r="B50" s="73" t="s">
        <v>137</v>
      </c>
      <c r="C50" s="74" t="s">
        <v>114</v>
      </c>
      <c r="D50" s="75">
        <v>145</v>
      </c>
      <c r="E50" s="76">
        <v>44.71</v>
      </c>
      <c r="F50" s="76">
        <f t="shared" si="2"/>
        <v>6482.95</v>
      </c>
      <c r="G50" s="77"/>
    </row>
    <row r="51" spans="2:8" ht="15.75" x14ac:dyDescent="0.25">
      <c r="B51" s="73" t="s">
        <v>138</v>
      </c>
      <c r="C51" s="74" t="s">
        <v>114</v>
      </c>
      <c r="D51" s="75">
        <v>5870</v>
      </c>
      <c r="E51" s="76">
        <v>12.98</v>
      </c>
      <c r="F51" s="76">
        <f t="shared" si="2"/>
        <v>76192.600000000006</v>
      </c>
      <c r="G51" s="77"/>
    </row>
    <row r="52" spans="2:8" ht="15.75" x14ac:dyDescent="0.25">
      <c r="B52" s="73" t="s">
        <v>139</v>
      </c>
      <c r="C52" s="74" t="s">
        <v>114</v>
      </c>
      <c r="D52" s="75">
        <v>1045</v>
      </c>
      <c r="E52" s="76">
        <v>4.97</v>
      </c>
      <c r="F52" s="76">
        <f t="shared" si="2"/>
        <v>5193.6499999999996</v>
      </c>
      <c r="G52" s="77"/>
    </row>
    <row r="53" spans="2:8" ht="15.75" x14ac:dyDescent="0.25">
      <c r="B53" s="73" t="s">
        <v>140</v>
      </c>
      <c r="C53" s="74" t="s">
        <v>114</v>
      </c>
      <c r="D53" s="75">
        <v>772</v>
      </c>
      <c r="E53" s="76">
        <v>73.25</v>
      </c>
      <c r="F53" s="76">
        <f t="shared" si="2"/>
        <v>56549</v>
      </c>
      <c r="G53" s="77"/>
    </row>
    <row r="54" spans="2:8" ht="15.75" x14ac:dyDescent="0.25">
      <c r="B54" s="73" t="s">
        <v>141</v>
      </c>
      <c r="C54" s="74" t="s">
        <v>114</v>
      </c>
      <c r="D54" s="75">
        <v>193</v>
      </c>
      <c r="E54" s="76">
        <v>35.450000000000003</v>
      </c>
      <c r="F54" s="76">
        <f t="shared" si="2"/>
        <v>6841.85</v>
      </c>
      <c r="G54" s="77"/>
      <c r="H54" s="78"/>
    </row>
    <row r="55" spans="2:8" ht="15.75" x14ac:dyDescent="0.25">
      <c r="B55" s="73" t="s">
        <v>142</v>
      </c>
      <c r="C55" s="74" t="s">
        <v>114</v>
      </c>
      <c r="D55" s="75">
        <v>772</v>
      </c>
      <c r="E55" s="76">
        <v>56</v>
      </c>
      <c r="F55" s="76">
        <f t="shared" si="2"/>
        <v>43232</v>
      </c>
      <c r="G55" s="77"/>
      <c r="H55" s="78"/>
    </row>
    <row r="56" spans="2:8" ht="15.75" x14ac:dyDescent="0.25">
      <c r="B56" s="73" t="s">
        <v>143</v>
      </c>
      <c r="C56" s="74" t="s">
        <v>114</v>
      </c>
      <c r="D56" s="75">
        <v>466</v>
      </c>
      <c r="E56" s="76">
        <v>32.619999999999997</v>
      </c>
      <c r="F56" s="76">
        <f t="shared" si="2"/>
        <v>15200.919999999998</v>
      </c>
      <c r="G56" s="77"/>
    </row>
    <row r="57" spans="2:8" ht="15.75" x14ac:dyDescent="0.25">
      <c r="B57" s="73" t="s">
        <v>144</v>
      </c>
      <c r="C57" s="74" t="s">
        <v>114</v>
      </c>
      <c r="D57" s="75">
        <v>209</v>
      </c>
      <c r="E57" s="76">
        <v>48.07</v>
      </c>
      <c r="F57" s="76">
        <f t="shared" si="2"/>
        <v>10046.629999999999</v>
      </c>
      <c r="G57" s="77"/>
    </row>
    <row r="58" spans="2:8" ht="15.75" x14ac:dyDescent="0.25">
      <c r="B58" s="73" t="s">
        <v>145</v>
      </c>
      <c r="C58" s="74" t="s">
        <v>114</v>
      </c>
      <c r="D58" s="75">
        <v>273</v>
      </c>
      <c r="E58" s="76">
        <v>9.42</v>
      </c>
      <c r="F58" s="76">
        <f t="shared" si="2"/>
        <v>2571.66</v>
      </c>
      <c r="G58" s="77"/>
    </row>
    <row r="59" spans="2:8" ht="15.75" x14ac:dyDescent="0.25">
      <c r="B59" s="73" t="s">
        <v>146</v>
      </c>
      <c r="C59" s="74" t="s">
        <v>114</v>
      </c>
      <c r="D59" s="75">
        <v>50</v>
      </c>
      <c r="E59" s="76">
        <v>248.69</v>
      </c>
      <c r="F59" s="76">
        <f t="shared" si="2"/>
        <v>12434.5</v>
      </c>
      <c r="G59" s="77"/>
    </row>
    <row r="60" spans="2:8" ht="15.75" x14ac:dyDescent="0.25">
      <c r="B60" s="73" t="s">
        <v>147</v>
      </c>
      <c r="C60" s="74" t="s">
        <v>114</v>
      </c>
      <c r="D60" s="75">
        <v>16</v>
      </c>
      <c r="E60" s="76">
        <v>122.5</v>
      </c>
      <c r="F60" s="76">
        <f t="shared" si="2"/>
        <v>1960</v>
      </c>
      <c r="G60" s="77"/>
    </row>
    <row r="61" spans="2:8" ht="15.75" x14ac:dyDescent="0.25">
      <c r="B61" s="73" t="s">
        <v>148</v>
      </c>
      <c r="C61" s="74" t="s">
        <v>114</v>
      </c>
      <c r="D61" s="75">
        <v>13</v>
      </c>
      <c r="E61" s="76">
        <v>24.86</v>
      </c>
      <c r="F61" s="76">
        <f t="shared" si="2"/>
        <v>323.18</v>
      </c>
      <c r="G61" s="77"/>
    </row>
    <row r="62" spans="2:8" ht="15.75" x14ac:dyDescent="0.25">
      <c r="B62" s="73" t="s">
        <v>149</v>
      </c>
      <c r="C62" s="74" t="s">
        <v>150</v>
      </c>
      <c r="D62" s="75">
        <v>17</v>
      </c>
      <c r="E62" s="76">
        <v>64.69</v>
      </c>
      <c r="F62" s="76">
        <f t="shared" si="2"/>
        <v>1099.73</v>
      </c>
      <c r="G62" s="77"/>
    </row>
    <row r="63" spans="2:8" ht="15.75" x14ac:dyDescent="0.25">
      <c r="B63" s="73" t="s">
        <v>149</v>
      </c>
      <c r="C63" s="74" t="s">
        <v>150</v>
      </c>
      <c r="D63" s="75">
        <v>17</v>
      </c>
      <c r="E63" s="76">
        <v>80.599999999999994</v>
      </c>
      <c r="F63" s="76">
        <f t="shared" si="2"/>
        <v>1370.1999999999998</v>
      </c>
      <c r="G63" s="77"/>
    </row>
    <row r="64" spans="2:8" ht="15.75" x14ac:dyDescent="0.25">
      <c r="B64" s="73" t="s">
        <v>149</v>
      </c>
      <c r="C64" s="74" t="s">
        <v>150</v>
      </c>
      <c r="D64" s="75">
        <v>29</v>
      </c>
      <c r="E64" s="76">
        <v>162.02000000000001</v>
      </c>
      <c r="F64" s="76">
        <f t="shared" si="2"/>
        <v>4698.58</v>
      </c>
      <c r="G64" s="77"/>
    </row>
    <row r="65" spans="2:8" ht="15.75" x14ac:dyDescent="0.25">
      <c r="B65" s="73" t="s">
        <v>151</v>
      </c>
      <c r="C65" s="74" t="s">
        <v>114</v>
      </c>
      <c r="D65" s="75">
        <v>15</v>
      </c>
      <c r="E65" s="76">
        <v>101.81</v>
      </c>
      <c r="F65" s="76">
        <f t="shared" si="2"/>
        <v>1527.15</v>
      </c>
      <c r="G65" s="77"/>
      <c r="H65" s="78"/>
    </row>
    <row r="66" spans="2:8" ht="15.75" x14ac:dyDescent="0.25">
      <c r="B66" s="73" t="s">
        <v>152</v>
      </c>
      <c r="C66" s="74" t="s">
        <v>150</v>
      </c>
      <c r="D66" s="75">
        <v>15</v>
      </c>
      <c r="E66" s="76">
        <v>74.02</v>
      </c>
      <c r="F66" s="76">
        <f t="shared" si="2"/>
        <v>1110.3</v>
      </c>
      <c r="G66" s="77"/>
      <c r="H66" s="78"/>
    </row>
    <row r="67" spans="2:8" ht="15.75" x14ac:dyDescent="0.25">
      <c r="B67" s="73" t="s">
        <v>153</v>
      </c>
      <c r="C67" s="74" t="s">
        <v>150</v>
      </c>
      <c r="D67" s="75">
        <v>75</v>
      </c>
      <c r="E67" s="76">
        <v>21.35</v>
      </c>
      <c r="F67" s="76">
        <f t="shared" si="2"/>
        <v>1601.25</v>
      </c>
      <c r="G67" s="77"/>
      <c r="H67" s="78"/>
    </row>
    <row r="68" spans="2:8" ht="15.75" x14ac:dyDescent="0.25">
      <c r="B68" s="73" t="s">
        <v>154</v>
      </c>
      <c r="C68" s="74" t="s">
        <v>150</v>
      </c>
      <c r="D68" s="75">
        <v>3</v>
      </c>
      <c r="E68" s="76">
        <v>188.91</v>
      </c>
      <c r="F68" s="76">
        <f t="shared" si="2"/>
        <v>566.73</v>
      </c>
      <c r="G68" s="77"/>
      <c r="H68" s="78"/>
    </row>
    <row r="69" spans="2:8" ht="15.75" x14ac:dyDescent="0.25">
      <c r="B69" s="73" t="s">
        <v>155</v>
      </c>
      <c r="C69" s="74" t="s">
        <v>114</v>
      </c>
      <c r="D69" s="75">
        <v>147</v>
      </c>
      <c r="E69" s="76">
        <v>322.49</v>
      </c>
      <c r="F69" s="76">
        <f t="shared" si="2"/>
        <v>47406.03</v>
      </c>
      <c r="G69" s="77"/>
      <c r="H69" s="78"/>
    </row>
    <row r="70" spans="2:8" x14ac:dyDescent="0.25">
      <c r="B70" s="46" t="s">
        <v>156</v>
      </c>
      <c r="C70" s="79"/>
      <c r="D70" s="79"/>
      <c r="E70" s="79"/>
      <c r="F70" s="80">
        <f>SUM(F42:F69)</f>
        <v>335429.57000000007</v>
      </c>
      <c r="G70" s="81"/>
    </row>
    <row r="71" spans="2:8" ht="15.95" customHeight="1" x14ac:dyDescent="0.25">
      <c r="B71" s="326" t="s">
        <v>124</v>
      </c>
      <c r="C71" s="326"/>
      <c r="D71" s="82"/>
      <c r="E71" s="83"/>
      <c r="F71" s="84"/>
      <c r="G71" s="85"/>
    </row>
    <row r="72" spans="2:8" ht="15.75" x14ac:dyDescent="0.25">
      <c r="B72" s="64" t="s">
        <v>157</v>
      </c>
      <c r="C72" s="82" t="s">
        <v>114</v>
      </c>
      <c r="D72" s="66">
        <v>2100</v>
      </c>
      <c r="E72" s="67">
        <v>55</v>
      </c>
      <c r="F72" s="86">
        <f>D72* E72</f>
        <v>115500</v>
      </c>
      <c r="G72" s="85"/>
    </row>
    <row r="73" spans="2:8" x14ac:dyDescent="0.25">
      <c r="B73" s="331" t="s">
        <v>158</v>
      </c>
      <c r="C73" s="331"/>
      <c r="D73" s="50"/>
      <c r="E73" s="50"/>
      <c r="F73" s="52">
        <f>SUM(F72)</f>
        <v>115500</v>
      </c>
      <c r="G73" s="89"/>
    </row>
    <row r="74" spans="2:8" x14ac:dyDescent="0.25">
      <c r="B74" s="46" t="s">
        <v>156</v>
      </c>
      <c r="C74" s="79"/>
      <c r="D74" s="79"/>
      <c r="E74" s="79"/>
      <c r="F74" s="80">
        <f>SUM(F70+F73)</f>
        <v>450929.57000000007</v>
      </c>
    </row>
    <row r="75" spans="2:8" ht="15.75" x14ac:dyDescent="0.25">
      <c r="B75" s="90" t="s">
        <v>370</v>
      </c>
      <c r="C75" s="91"/>
      <c r="D75" s="57"/>
      <c r="E75" s="57"/>
      <c r="F75" s="57"/>
      <c r="G75" s="69"/>
    </row>
    <row r="76" spans="2:8" ht="15.75" x14ac:dyDescent="0.25">
      <c r="B76" s="64" t="s">
        <v>159</v>
      </c>
      <c r="C76" s="82" t="s">
        <v>160</v>
      </c>
      <c r="D76" s="92">
        <v>600</v>
      </c>
      <c r="E76" s="93">
        <v>51.2</v>
      </c>
      <c r="F76" s="86">
        <f t="shared" ref="F76:F81" si="3">D76*E76</f>
        <v>30720</v>
      </c>
      <c r="G76" s="94"/>
      <c r="H76" s="95"/>
    </row>
    <row r="77" spans="2:8" ht="15.75" x14ac:dyDescent="0.25">
      <c r="B77" s="64" t="s">
        <v>159</v>
      </c>
      <c r="C77" s="82" t="s">
        <v>160</v>
      </c>
      <c r="D77" s="92">
        <v>1800</v>
      </c>
      <c r="E77" s="93">
        <v>48.1</v>
      </c>
      <c r="F77" s="86">
        <f t="shared" si="3"/>
        <v>86580</v>
      </c>
      <c r="G77" s="94"/>
      <c r="H77" s="95"/>
    </row>
    <row r="78" spans="2:8" ht="15.75" x14ac:dyDescent="0.25">
      <c r="B78" s="64" t="s">
        <v>159</v>
      </c>
      <c r="C78" s="82" t="s">
        <v>160</v>
      </c>
      <c r="D78" s="92">
        <v>2454</v>
      </c>
      <c r="E78" s="93">
        <v>47.55</v>
      </c>
      <c r="F78" s="86">
        <f t="shared" si="3"/>
        <v>116687.7</v>
      </c>
      <c r="G78" s="94"/>
      <c r="H78" s="95"/>
    </row>
    <row r="79" spans="2:8" ht="15.75" x14ac:dyDescent="0.25">
      <c r="B79" s="64" t="s">
        <v>159</v>
      </c>
      <c r="C79" s="82" t="s">
        <v>160</v>
      </c>
      <c r="D79" s="92">
        <v>1</v>
      </c>
      <c r="E79" s="93">
        <v>49.89</v>
      </c>
      <c r="F79" s="86">
        <f t="shared" si="3"/>
        <v>49.89</v>
      </c>
      <c r="G79" s="94"/>
      <c r="H79" s="95"/>
    </row>
    <row r="80" spans="2:8" ht="15.75" x14ac:dyDescent="0.25">
      <c r="B80" s="64" t="s">
        <v>159</v>
      </c>
      <c r="C80" s="82" t="s">
        <v>160</v>
      </c>
      <c r="D80" s="92">
        <v>600</v>
      </c>
      <c r="E80" s="93">
        <v>47.85</v>
      </c>
      <c r="F80" s="86">
        <f t="shared" si="3"/>
        <v>28710</v>
      </c>
      <c r="G80" s="94"/>
      <c r="H80" s="95"/>
    </row>
    <row r="81" spans="2:14" ht="15.75" x14ac:dyDescent="0.25">
      <c r="B81" s="96" t="s">
        <v>161</v>
      </c>
      <c r="C81" s="82" t="s">
        <v>114</v>
      </c>
      <c r="D81" s="97">
        <v>1</v>
      </c>
      <c r="E81" s="98">
        <v>5950</v>
      </c>
      <c r="F81" s="86">
        <f t="shared" si="3"/>
        <v>5950</v>
      </c>
      <c r="G81" s="99"/>
      <c r="H81" s="100"/>
    </row>
    <row r="82" spans="2:14" ht="15.75" x14ac:dyDescent="0.25">
      <c r="B82" s="336" t="s">
        <v>104</v>
      </c>
      <c r="C82" s="336"/>
      <c r="D82" s="101"/>
      <c r="E82" s="101"/>
      <c r="F82" s="102">
        <f>SUM(F76:F81)</f>
        <v>268697.59000000003</v>
      </c>
      <c r="G82" s="69"/>
    </row>
    <row r="83" spans="2:14" ht="15.95" customHeight="1" x14ac:dyDescent="0.25">
      <c r="B83" s="326" t="s">
        <v>124</v>
      </c>
      <c r="C83" s="326"/>
      <c r="D83" s="103"/>
      <c r="E83" s="103"/>
      <c r="F83" s="104"/>
      <c r="G83" s="105"/>
    </row>
    <row r="84" spans="2:14" ht="31.5" x14ac:dyDescent="0.25">
      <c r="B84" s="65" t="s">
        <v>162</v>
      </c>
      <c r="C84" s="82" t="s">
        <v>163</v>
      </c>
      <c r="D84" s="66">
        <v>1</v>
      </c>
      <c r="E84" s="88">
        <v>17420</v>
      </c>
      <c r="F84" s="86">
        <f t="shared" ref="F84:F91" si="4">D84*E84</f>
        <v>17420</v>
      </c>
      <c r="G84" s="106"/>
      <c r="H84" s="107"/>
    </row>
    <row r="85" spans="2:14" ht="31.5" x14ac:dyDescent="0.25">
      <c r="B85" s="65" t="s">
        <v>162</v>
      </c>
      <c r="C85" s="82" t="s">
        <v>163</v>
      </c>
      <c r="D85" s="66">
        <v>1</v>
      </c>
      <c r="E85" s="88">
        <v>17840</v>
      </c>
      <c r="F85" s="86">
        <f t="shared" si="4"/>
        <v>17840</v>
      </c>
      <c r="G85" s="106"/>
      <c r="H85" s="107"/>
    </row>
    <row r="86" spans="2:14" ht="31.5" x14ac:dyDescent="0.25">
      <c r="B86" s="65" t="s">
        <v>162</v>
      </c>
      <c r="C86" s="82" t="s">
        <v>163</v>
      </c>
      <c r="D86" s="66">
        <v>1</v>
      </c>
      <c r="E86" s="88">
        <v>8200</v>
      </c>
      <c r="F86" s="86">
        <f t="shared" si="4"/>
        <v>8200</v>
      </c>
      <c r="G86" s="106"/>
      <c r="H86" s="107"/>
    </row>
    <row r="87" spans="2:14" ht="15.75" x14ac:dyDescent="0.25">
      <c r="B87" s="65" t="s">
        <v>164</v>
      </c>
      <c r="C87" s="82" t="s">
        <v>163</v>
      </c>
      <c r="D87" s="66">
        <v>1</v>
      </c>
      <c r="E87" s="88">
        <v>1304</v>
      </c>
      <c r="F87" s="86">
        <f t="shared" si="4"/>
        <v>1304</v>
      </c>
      <c r="G87" s="106"/>
      <c r="H87" s="107"/>
    </row>
    <row r="88" spans="2:14" ht="15.75" x14ac:dyDescent="0.25">
      <c r="B88" s="108" t="s">
        <v>165</v>
      </c>
      <c r="C88" s="82" t="s">
        <v>163</v>
      </c>
      <c r="D88" s="66">
        <v>1</v>
      </c>
      <c r="E88" s="88">
        <v>5500</v>
      </c>
      <c r="F88" s="86">
        <f t="shared" si="4"/>
        <v>5500</v>
      </c>
      <c r="G88" s="106"/>
      <c r="H88" s="107"/>
    </row>
    <row r="89" spans="2:14" ht="15.75" x14ac:dyDescent="0.25">
      <c r="B89" s="108" t="s">
        <v>166</v>
      </c>
      <c r="C89" s="82" t="s">
        <v>163</v>
      </c>
      <c r="D89" s="66">
        <v>1</v>
      </c>
      <c r="E89" s="88">
        <v>5790</v>
      </c>
      <c r="F89" s="86">
        <f t="shared" si="4"/>
        <v>5790</v>
      </c>
      <c r="G89" s="106"/>
      <c r="H89" s="107"/>
    </row>
    <row r="90" spans="2:14" ht="15.75" x14ac:dyDescent="0.25">
      <c r="B90" s="109" t="s">
        <v>167</v>
      </c>
      <c r="C90" s="103" t="s">
        <v>163</v>
      </c>
      <c r="D90" s="110">
        <v>1</v>
      </c>
      <c r="E90" s="111">
        <v>5680.92</v>
      </c>
      <c r="F90" s="86">
        <f t="shared" si="4"/>
        <v>5680.92</v>
      </c>
      <c r="G90" s="112"/>
      <c r="H90" s="113"/>
    </row>
    <row r="91" spans="2:14" ht="31.5" x14ac:dyDescent="0.25">
      <c r="B91" s="64" t="s">
        <v>168</v>
      </c>
      <c r="C91" s="108" t="s">
        <v>169</v>
      </c>
      <c r="D91" s="92">
        <v>302.8</v>
      </c>
      <c r="E91" s="86">
        <v>100</v>
      </c>
      <c r="F91" s="86">
        <f t="shared" si="4"/>
        <v>30280</v>
      </c>
      <c r="G91" s="94"/>
      <c r="H91" s="114"/>
      <c r="N91" s="1">
        <f>SUM(F91-M91)</f>
        <v>30280</v>
      </c>
    </row>
    <row r="92" spans="2:14" ht="15.75" x14ac:dyDescent="0.25">
      <c r="B92" s="336" t="s">
        <v>104</v>
      </c>
      <c r="C92" s="336"/>
      <c r="D92" s="101"/>
      <c r="E92" s="101"/>
      <c r="F92" s="102">
        <f>SUM(F84:F91)</f>
        <v>92014.92</v>
      </c>
    </row>
    <row r="93" spans="2:14" ht="15.75" x14ac:dyDescent="0.25">
      <c r="B93" s="336" t="s">
        <v>104</v>
      </c>
      <c r="C93" s="336"/>
      <c r="D93" s="101"/>
      <c r="E93" s="101"/>
      <c r="F93" s="102">
        <f>SUM(F82+F92)</f>
        <v>360712.51</v>
      </c>
      <c r="I93">
        <f>SUM(G93*H93)</f>
        <v>0</v>
      </c>
    </row>
    <row r="94" spans="2:14" ht="15.75" x14ac:dyDescent="0.25">
      <c r="B94" s="115"/>
      <c r="C94" s="115"/>
      <c r="D94" s="115"/>
      <c r="E94" s="116"/>
      <c r="F94" s="116"/>
      <c r="G94" s="254"/>
    </row>
    <row r="95" spans="2:14" ht="15.95" customHeight="1" x14ac:dyDescent="0.25">
      <c r="B95" s="333" t="s">
        <v>171</v>
      </c>
      <c r="C95" s="333"/>
      <c r="D95" s="115"/>
      <c r="E95" s="116"/>
      <c r="F95" s="116"/>
      <c r="G95" s="118"/>
    </row>
    <row r="96" spans="2:14" ht="31.5" x14ac:dyDescent="0.25">
      <c r="B96" s="119" t="s">
        <v>172</v>
      </c>
      <c r="C96" s="120" t="s">
        <v>163</v>
      </c>
      <c r="D96" s="121">
        <v>12</v>
      </c>
      <c r="E96" s="122">
        <v>8614</v>
      </c>
      <c r="F96" s="122">
        <f>D96*E96</f>
        <v>103368</v>
      </c>
      <c r="G96" s="123"/>
      <c r="H96" s="124"/>
    </row>
    <row r="97" spans="2:8" ht="15.75" x14ac:dyDescent="0.25">
      <c r="B97" s="119" t="s">
        <v>173</v>
      </c>
      <c r="C97" s="120" t="s">
        <v>163</v>
      </c>
      <c r="D97" s="121">
        <v>12</v>
      </c>
      <c r="E97" s="122">
        <v>5000</v>
      </c>
      <c r="F97" s="122">
        <f>D97*E97</f>
        <v>60000</v>
      </c>
      <c r="G97" s="123"/>
      <c r="H97" s="124"/>
    </row>
    <row r="98" spans="2:8" ht="15.75" x14ac:dyDescent="0.25">
      <c r="B98" s="119" t="s">
        <v>174</v>
      </c>
      <c r="C98" s="120" t="s">
        <v>163</v>
      </c>
      <c r="D98" s="121">
        <v>2</v>
      </c>
      <c r="E98" s="122">
        <v>1083</v>
      </c>
      <c r="F98" s="122">
        <f>D98*E98</f>
        <v>2166</v>
      </c>
      <c r="G98" s="123"/>
      <c r="H98" s="124"/>
    </row>
    <row r="99" spans="2:8" ht="31.5" x14ac:dyDescent="0.25">
      <c r="B99" s="119" t="s">
        <v>175</v>
      </c>
      <c r="C99" s="120" t="s">
        <v>163</v>
      </c>
      <c r="D99" s="121">
        <v>1</v>
      </c>
      <c r="E99" s="122">
        <v>2898</v>
      </c>
      <c r="F99" s="122">
        <v>2800</v>
      </c>
      <c r="G99" s="123"/>
      <c r="H99" s="124"/>
    </row>
    <row r="100" spans="2:8" ht="47.25" x14ac:dyDescent="0.25">
      <c r="B100" s="125" t="s">
        <v>176</v>
      </c>
      <c r="C100" s="103" t="s">
        <v>163</v>
      </c>
      <c r="D100" s="126">
        <v>1</v>
      </c>
      <c r="E100" s="126">
        <v>4058</v>
      </c>
      <c r="F100" s="126">
        <f>D100*E100</f>
        <v>4058</v>
      </c>
      <c r="G100" s="127"/>
      <c r="H100" s="128"/>
    </row>
    <row r="101" spans="2:8" ht="15.95" customHeight="1" x14ac:dyDescent="0.25">
      <c r="B101" s="327" t="s">
        <v>158</v>
      </c>
      <c r="C101" s="327"/>
      <c r="D101" s="115"/>
      <c r="E101" s="129"/>
      <c r="F101" s="130">
        <f>SUM(F96:F100)</f>
        <v>172392</v>
      </c>
      <c r="G101" s="131"/>
    </row>
    <row r="102" spans="2:8" ht="15.95" customHeight="1" x14ac:dyDescent="0.25">
      <c r="B102" s="334" t="s">
        <v>103</v>
      </c>
      <c r="C102" s="334"/>
      <c r="D102" s="115"/>
      <c r="E102" s="129"/>
      <c r="F102" s="130"/>
      <c r="G102" s="131"/>
    </row>
    <row r="103" spans="2:8" ht="31.5" x14ac:dyDescent="0.25">
      <c r="B103" s="65" t="s">
        <v>177</v>
      </c>
      <c r="C103" s="82" t="s">
        <v>163</v>
      </c>
      <c r="D103" s="66">
        <v>1</v>
      </c>
      <c r="E103" s="132">
        <v>631254</v>
      </c>
      <c r="F103" s="132">
        <f>D103*E103</f>
        <v>631254</v>
      </c>
      <c r="G103" s="106"/>
      <c r="H103" s="133"/>
    </row>
    <row r="104" spans="2:8" ht="15.75" x14ac:dyDescent="0.25">
      <c r="B104" s="65" t="s">
        <v>178</v>
      </c>
      <c r="C104" s="82" t="s">
        <v>163</v>
      </c>
      <c r="D104" s="92">
        <v>1</v>
      </c>
      <c r="E104" s="86">
        <v>9600</v>
      </c>
      <c r="F104" s="86">
        <v>9600</v>
      </c>
      <c r="G104" s="94"/>
      <c r="H104" s="114"/>
    </row>
    <row r="105" spans="2:8" ht="31.5" x14ac:dyDescent="0.25">
      <c r="B105" s="65" t="s">
        <v>179</v>
      </c>
      <c r="C105" s="82" t="s">
        <v>180</v>
      </c>
      <c r="D105" s="92">
        <v>12</v>
      </c>
      <c r="E105" s="86">
        <v>1320</v>
      </c>
      <c r="F105" s="86">
        <v>15840</v>
      </c>
      <c r="G105" s="94"/>
      <c r="H105" s="114"/>
    </row>
    <row r="106" spans="2:8" ht="15.95" customHeight="1" x14ac:dyDescent="0.25">
      <c r="B106" s="327" t="s">
        <v>158</v>
      </c>
      <c r="C106" s="327"/>
      <c r="D106" s="115"/>
      <c r="E106" s="129"/>
      <c r="F106" s="130">
        <f>SUM(F103:F105)</f>
        <v>656694</v>
      </c>
      <c r="G106" s="131"/>
    </row>
    <row r="107" spans="2:8" ht="15.95" customHeight="1" x14ac:dyDescent="0.25">
      <c r="B107" s="327" t="s">
        <v>99</v>
      </c>
      <c r="C107" s="327"/>
      <c r="D107" s="115"/>
      <c r="E107" s="115"/>
      <c r="F107" s="202">
        <f>SUM(F101+F106)</f>
        <v>829086</v>
      </c>
      <c r="G107" s="131"/>
    </row>
    <row r="108" spans="2:8" ht="15.75" x14ac:dyDescent="0.25">
      <c r="B108" s="55"/>
      <c r="C108" s="55"/>
      <c r="D108" s="55"/>
      <c r="E108" s="136"/>
      <c r="F108" s="136"/>
      <c r="G108" s="137"/>
    </row>
    <row r="109" spans="2:8" ht="15.95" customHeight="1" x14ac:dyDescent="0.25">
      <c r="B109" s="326" t="s">
        <v>112</v>
      </c>
      <c r="C109" s="326"/>
      <c r="D109" s="55"/>
      <c r="E109" s="136"/>
      <c r="F109" s="136"/>
      <c r="G109" s="137"/>
    </row>
    <row r="110" spans="2:8" ht="15.75" x14ac:dyDescent="0.25">
      <c r="B110" s="64" t="s">
        <v>181</v>
      </c>
      <c r="C110" s="82" t="s">
        <v>180</v>
      </c>
      <c r="D110" s="83">
        <v>12</v>
      </c>
      <c r="E110" s="138">
        <v>556.69000000000005</v>
      </c>
      <c r="F110" s="132">
        <f>D110*E110</f>
        <v>6680.2800000000007</v>
      </c>
      <c r="G110" s="139"/>
      <c r="H110" s="140"/>
    </row>
    <row r="111" spans="2:8" ht="15.75" x14ac:dyDescent="0.25">
      <c r="B111" s="141" t="s">
        <v>182</v>
      </c>
      <c r="C111" s="82" t="s">
        <v>163</v>
      </c>
      <c r="D111" s="83">
        <v>1</v>
      </c>
      <c r="E111" s="138">
        <v>6319.71</v>
      </c>
      <c r="F111" s="132">
        <f>D111*E111+0.01</f>
        <v>6319.72</v>
      </c>
      <c r="G111" s="139"/>
      <c r="H111" s="140"/>
    </row>
    <row r="112" spans="2:8" ht="15.95" customHeight="1" x14ac:dyDescent="0.25">
      <c r="B112" s="328" t="s">
        <v>158</v>
      </c>
      <c r="C112" s="328"/>
      <c r="D112" s="55"/>
      <c r="E112" s="143"/>
      <c r="F112" s="258">
        <f>SUM(F110:F111)</f>
        <v>13000</v>
      </c>
      <c r="G112" s="144"/>
    </row>
    <row r="114" spans="2:8" ht="15.95" customHeight="1" x14ac:dyDescent="0.25">
      <c r="B114" s="326" t="s">
        <v>124</v>
      </c>
      <c r="C114" s="326"/>
      <c r="D114" s="55"/>
      <c r="E114" s="136"/>
      <c r="F114" s="136"/>
    </row>
    <row r="115" spans="2:8" ht="15.75" x14ac:dyDescent="0.25">
      <c r="B115" s="64" t="s">
        <v>183</v>
      </c>
      <c r="C115" s="82" t="s">
        <v>163</v>
      </c>
      <c r="D115" s="83">
        <v>1</v>
      </c>
      <c r="E115" s="88">
        <v>40117.919999999998</v>
      </c>
      <c r="F115" s="132">
        <f>E115</f>
        <v>40117.919999999998</v>
      </c>
      <c r="G115" s="139"/>
      <c r="H115" s="107"/>
    </row>
    <row r="116" spans="2:8" ht="15.75" x14ac:dyDescent="0.25">
      <c r="B116" s="65" t="s">
        <v>184</v>
      </c>
      <c r="C116" s="82" t="s">
        <v>185</v>
      </c>
      <c r="D116" s="83">
        <v>1</v>
      </c>
      <c r="E116" s="88"/>
      <c r="F116" s="132">
        <f>E116</f>
        <v>0</v>
      </c>
    </row>
    <row r="117" spans="2:8" ht="15.75" x14ac:dyDescent="0.25">
      <c r="B117" s="65" t="s">
        <v>186</v>
      </c>
      <c r="C117" s="82" t="s">
        <v>163</v>
      </c>
      <c r="D117" s="83">
        <v>1</v>
      </c>
      <c r="E117" s="88">
        <v>9253.44</v>
      </c>
      <c r="F117" s="132">
        <f>E117</f>
        <v>9253.44</v>
      </c>
      <c r="G117" s="106"/>
      <c r="H117" s="133"/>
    </row>
    <row r="118" spans="2:8" ht="15.95" customHeight="1" x14ac:dyDescent="0.25">
      <c r="B118" s="328" t="s">
        <v>158</v>
      </c>
      <c r="C118" s="328"/>
      <c r="D118" s="55"/>
      <c r="E118" s="143"/>
      <c r="F118" s="258">
        <f>SUM(F115:F117)</f>
        <v>49371.360000000001</v>
      </c>
    </row>
    <row r="119" spans="2:8" x14ac:dyDescent="0.25">
      <c r="F119" s="233"/>
    </row>
    <row r="120" spans="2:8" ht="15.95" customHeight="1" x14ac:dyDescent="0.25">
      <c r="B120" s="333" t="s">
        <v>171</v>
      </c>
      <c r="C120" s="333"/>
      <c r="D120" s="117"/>
      <c r="E120" s="146"/>
      <c r="F120" s="259"/>
    </row>
    <row r="121" spans="2:8" ht="15.75" x14ac:dyDescent="0.25">
      <c r="B121" s="148" t="s">
        <v>187</v>
      </c>
      <c r="C121" s="149" t="s">
        <v>188</v>
      </c>
      <c r="D121" s="150">
        <v>6.4</v>
      </c>
      <c r="E121" s="151">
        <v>8288.99</v>
      </c>
      <c r="F121" s="260">
        <f>D121*E121+0.02</f>
        <v>53049.555999999997</v>
      </c>
      <c r="G121" s="153"/>
      <c r="H121" s="154"/>
    </row>
    <row r="122" spans="2:8" ht="15.75" x14ac:dyDescent="0.25">
      <c r="B122" s="155" t="s">
        <v>189</v>
      </c>
      <c r="C122" s="149" t="s">
        <v>190</v>
      </c>
      <c r="D122" s="150">
        <v>72</v>
      </c>
      <c r="E122" s="151">
        <v>64</v>
      </c>
      <c r="F122" s="260">
        <f>E122*D122</f>
        <v>4608</v>
      </c>
      <c r="G122" s="153"/>
      <c r="H122" s="154"/>
    </row>
    <row r="123" spans="2:8" ht="15.75" x14ac:dyDescent="0.25">
      <c r="B123" s="155" t="s">
        <v>191</v>
      </c>
      <c r="C123" s="149" t="s">
        <v>190</v>
      </c>
      <c r="D123" s="150">
        <v>144</v>
      </c>
      <c r="E123" s="151">
        <v>621</v>
      </c>
      <c r="F123" s="260">
        <f>D123*E123</f>
        <v>89424</v>
      </c>
      <c r="G123" s="153"/>
      <c r="H123" s="154"/>
    </row>
    <row r="124" spans="2:8" ht="15.75" x14ac:dyDescent="0.25">
      <c r="B124" s="155" t="s">
        <v>192</v>
      </c>
      <c r="C124" s="149" t="s">
        <v>193</v>
      </c>
      <c r="D124" s="150">
        <v>13.7</v>
      </c>
      <c r="E124" s="151">
        <v>8248.1749999999993</v>
      </c>
      <c r="F124" s="260">
        <v>89800</v>
      </c>
      <c r="G124" s="153"/>
      <c r="H124" s="154"/>
    </row>
    <row r="125" spans="2:8" ht="15.75" x14ac:dyDescent="0.25">
      <c r="B125" s="155" t="s">
        <v>194</v>
      </c>
      <c r="C125" s="149" t="s">
        <v>163</v>
      </c>
      <c r="D125" s="150">
        <v>12</v>
      </c>
      <c r="E125" s="151">
        <v>2059.37</v>
      </c>
      <c r="F125" s="260">
        <f>D125*E125</f>
        <v>24712.44</v>
      </c>
      <c r="G125" s="153"/>
      <c r="H125" s="154"/>
    </row>
    <row r="126" spans="2:8" ht="15.95" customHeight="1" x14ac:dyDescent="0.25">
      <c r="B126" s="332" t="s">
        <v>104</v>
      </c>
      <c r="C126" s="332"/>
      <c r="D126" s="156"/>
      <c r="E126" s="157"/>
      <c r="F126" s="228">
        <f>SUM(F121:F125)</f>
        <v>261593.99599999998</v>
      </c>
    </row>
    <row r="127" spans="2:8" ht="15" customHeight="1" x14ac:dyDescent="0.25">
      <c r="B127" s="326" t="s">
        <v>124</v>
      </c>
      <c r="C127" s="326"/>
    </row>
    <row r="128" spans="2:8" ht="15.75" x14ac:dyDescent="0.25">
      <c r="B128" s="109" t="s">
        <v>195</v>
      </c>
      <c r="C128" s="103" t="s">
        <v>196</v>
      </c>
      <c r="D128" s="158"/>
      <c r="E128" s="111"/>
      <c r="F128" s="111"/>
    </row>
    <row r="129" spans="2:11" ht="30" x14ac:dyDescent="0.25">
      <c r="B129" s="48" t="s">
        <v>197</v>
      </c>
      <c r="C129" s="82"/>
      <c r="D129" s="79">
        <v>1</v>
      </c>
      <c r="E129" s="76">
        <v>9127</v>
      </c>
      <c r="F129" s="76">
        <f>D129*E129</f>
        <v>9127</v>
      </c>
      <c r="G129" s="161"/>
      <c r="H129" s="78"/>
    </row>
    <row r="130" spans="2:11" ht="30" x14ac:dyDescent="0.25">
      <c r="B130" s="48" t="s">
        <v>197</v>
      </c>
      <c r="C130" s="82"/>
      <c r="D130" s="79">
        <v>1</v>
      </c>
      <c r="E130" s="76">
        <v>9127</v>
      </c>
      <c r="F130" s="76">
        <f>D130*E130</f>
        <v>9127</v>
      </c>
      <c r="G130" s="161"/>
      <c r="H130" s="78"/>
    </row>
    <row r="131" spans="2:11" ht="45" x14ac:dyDescent="0.25">
      <c r="B131" s="48" t="s">
        <v>198</v>
      </c>
      <c r="C131" s="82"/>
      <c r="D131" s="79">
        <v>1</v>
      </c>
      <c r="E131" s="76">
        <v>3000</v>
      </c>
      <c r="F131" s="76">
        <f>D131*E131</f>
        <v>3000</v>
      </c>
      <c r="G131" s="161"/>
      <c r="H131" s="78"/>
    </row>
    <row r="132" spans="2:11" ht="30" x14ac:dyDescent="0.25">
      <c r="B132" s="48" t="s">
        <v>199</v>
      </c>
      <c r="C132" s="82"/>
      <c r="D132" s="79">
        <v>19</v>
      </c>
      <c r="E132" s="76">
        <v>350</v>
      </c>
      <c r="F132" s="76">
        <f>D132*E132</f>
        <v>6650</v>
      </c>
      <c r="G132" s="161"/>
      <c r="H132" s="78"/>
    </row>
    <row r="133" spans="2:11" ht="15.95" customHeight="1" x14ac:dyDescent="0.25">
      <c r="B133" s="328" t="s">
        <v>200</v>
      </c>
      <c r="C133" s="328"/>
      <c r="D133" s="55"/>
      <c r="E133" s="143"/>
      <c r="F133" s="227">
        <f>SUM(F129:F132)</f>
        <v>27904</v>
      </c>
    </row>
    <row r="134" spans="2:11" ht="15" customHeight="1" x14ac:dyDescent="0.25">
      <c r="B134" s="326" t="s">
        <v>124</v>
      </c>
      <c r="C134" s="326"/>
    </row>
    <row r="135" spans="2:11" ht="15.75" x14ac:dyDescent="0.25">
      <c r="B135" s="65" t="s">
        <v>201</v>
      </c>
      <c r="C135" s="82" t="s">
        <v>180</v>
      </c>
      <c r="D135" s="83">
        <v>12</v>
      </c>
      <c r="E135" s="88">
        <v>4173.28</v>
      </c>
      <c r="F135" s="76">
        <f>D135*E135</f>
        <v>50079.360000000001</v>
      </c>
      <c r="G135" s="139"/>
      <c r="H135" s="107"/>
    </row>
    <row r="137" spans="2:11" ht="47.1" customHeight="1" x14ac:dyDescent="0.25">
      <c r="B137" s="338" t="s">
        <v>371</v>
      </c>
      <c r="C137" s="338"/>
      <c r="D137" s="338"/>
      <c r="E137" s="338"/>
      <c r="F137" s="338"/>
      <c r="G137" s="338"/>
      <c r="H137" s="338"/>
      <c r="I137" s="338"/>
      <c r="J137" s="338"/>
      <c r="K137" s="338"/>
    </row>
    <row r="138" spans="2:11" ht="29.25" x14ac:dyDescent="0.25">
      <c r="B138" s="70" t="s">
        <v>107</v>
      </c>
      <c r="C138" s="71" t="s">
        <v>108</v>
      </c>
      <c r="D138" s="70" t="s">
        <v>127</v>
      </c>
      <c r="E138" s="71" t="s">
        <v>128</v>
      </c>
      <c r="F138" s="70" t="s">
        <v>129</v>
      </c>
      <c r="G138" s="72"/>
    </row>
    <row r="139" spans="2:11" ht="15" customHeight="1" x14ac:dyDescent="0.25">
      <c r="B139" s="326" t="s">
        <v>124</v>
      </c>
      <c r="C139" s="326"/>
      <c r="D139" s="71"/>
      <c r="E139" s="70"/>
      <c r="F139" s="268"/>
      <c r="G139" s="72"/>
    </row>
    <row r="140" spans="2:11" ht="15.75" x14ac:dyDescent="0.25">
      <c r="B140" s="65" t="s">
        <v>202</v>
      </c>
      <c r="C140" s="82" t="s">
        <v>114</v>
      </c>
      <c r="D140" s="165"/>
      <c r="E140" s="166"/>
      <c r="F140" s="132">
        <f>D140*E140</f>
        <v>0</v>
      </c>
      <c r="G140" s="167"/>
    </row>
    <row r="141" spans="2:11" ht="15.75" x14ac:dyDescent="0.25">
      <c r="B141" s="65" t="s">
        <v>202</v>
      </c>
      <c r="C141" s="82" t="s">
        <v>114</v>
      </c>
      <c r="D141" s="83">
        <v>3</v>
      </c>
      <c r="E141" s="88">
        <v>55000</v>
      </c>
      <c r="F141" s="132">
        <f>D141*E141</f>
        <v>165000</v>
      </c>
      <c r="G141" s="167"/>
      <c r="J141" s="1"/>
      <c r="K141" s="1"/>
    </row>
    <row r="142" spans="2:11" ht="15.75" x14ac:dyDescent="0.25">
      <c r="B142" s="64" t="s">
        <v>203</v>
      </c>
      <c r="C142" s="82" t="s">
        <v>114</v>
      </c>
      <c r="D142" s="83">
        <v>21</v>
      </c>
      <c r="E142" s="88">
        <v>17000</v>
      </c>
      <c r="F142" s="132">
        <f>D142*E142</f>
        <v>357000</v>
      </c>
      <c r="G142" s="167"/>
      <c r="K142" s="1"/>
    </row>
    <row r="143" spans="2:11" ht="15.75" x14ac:dyDescent="0.25">
      <c r="B143" s="331" t="s">
        <v>99</v>
      </c>
      <c r="C143" s="331"/>
      <c r="D143" s="50"/>
      <c r="E143" s="50"/>
      <c r="F143" s="203">
        <f>SUM(F140:F142)</f>
        <v>522000</v>
      </c>
      <c r="G143" s="167"/>
    </row>
    <row r="144" spans="2:11" ht="15.95" customHeight="1" x14ac:dyDescent="0.25">
      <c r="B144" s="326" t="s">
        <v>112</v>
      </c>
      <c r="C144" s="326"/>
      <c r="D144" s="55"/>
      <c r="E144" s="136"/>
      <c r="F144" s="136"/>
      <c r="G144" s="137"/>
    </row>
    <row r="145" spans="2:8" ht="31.5" x14ac:dyDescent="0.25">
      <c r="B145" s="65" t="s">
        <v>204</v>
      </c>
      <c r="C145" s="82" t="s">
        <v>163</v>
      </c>
      <c r="D145" s="83">
        <v>1</v>
      </c>
      <c r="E145" s="303">
        <f>582715.48+39355.8</f>
        <v>622071.28</v>
      </c>
      <c r="F145" s="224">
        <f>SUM(D145*E145)</f>
        <v>622071.28</v>
      </c>
      <c r="G145" s="139"/>
      <c r="H145" s="191"/>
    </row>
    <row r="146" spans="2:8" ht="15.75" x14ac:dyDescent="0.25">
      <c r="B146" s="65" t="s">
        <v>205</v>
      </c>
      <c r="C146" s="82" t="s">
        <v>163</v>
      </c>
      <c r="D146" s="83">
        <v>1</v>
      </c>
      <c r="E146" s="84">
        <v>31034.14</v>
      </c>
      <c r="F146" s="224">
        <f>SUM(D146*E146)</f>
        <v>31034.14</v>
      </c>
      <c r="G146" s="139"/>
      <c r="H146" s="191"/>
    </row>
    <row r="147" spans="2:8" x14ac:dyDescent="0.25">
      <c r="B147" s="331" t="s">
        <v>99</v>
      </c>
      <c r="C147" s="331"/>
      <c r="D147" s="50"/>
      <c r="E147" s="50"/>
      <c r="F147" s="264">
        <f>SUM(F145:F146)</f>
        <v>653105.42000000004</v>
      </c>
      <c r="G147" s="89"/>
    </row>
    <row r="148" spans="2:8" ht="15.95" customHeight="1" x14ac:dyDescent="0.25">
      <c r="B148" s="326" t="s">
        <v>112</v>
      </c>
      <c r="C148" s="326"/>
      <c r="D148" s="55"/>
      <c r="E148" s="136"/>
      <c r="F148" s="265"/>
      <c r="G148" s="181"/>
    </row>
    <row r="149" spans="2:8" ht="47.25" x14ac:dyDescent="0.25">
      <c r="B149" s="65" t="s">
        <v>206</v>
      </c>
      <c r="C149" s="82" t="s">
        <v>196</v>
      </c>
      <c r="D149" s="82">
        <v>177</v>
      </c>
      <c r="E149" s="83">
        <v>265</v>
      </c>
      <c r="F149" s="224">
        <f>D149*E149*11</f>
        <v>515955</v>
      </c>
      <c r="G149" s="192"/>
      <c r="H149" s="193"/>
    </row>
    <row r="150" spans="2:8" ht="15.95" customHeight="1" x14ac:dyDescent="0.25">
      <c r="B150" s="328" t="s">
        <v>104</v>
      </c>
      <c r="C150" s="328"/>
      <c r="D150" s="55"/>
      <c r="E150" s="164"/>
      <c r="F150" s="244">
        <f>SUM(F149)</f>
        <v>515955</v>
      </c>
      <c r="G150" s="181"/>
    </row>
    <row r="151" spans="2:8" ht="15.95" customHeight="1" x14ac:dyDescent="0.25">
      <c r="B151" s="326" t="s">
        <v>124</v>
      </c>
      <c r="C151" s="326"/>
      <c r="D151" s="82"/>
      <c r="E151" s="83"/>
      <c r="F151" s="266"/>
      <c r="G151" s="181"/>
    </row>
    <row r="152" spans="2:8" ht="31.5" x14ac:dyDescent="0.25">
      <c r="B152" s="125" t="s">
        <v>207</v>
      </c>
      <c r="C152" s="103" t="s">
        <v>208</v>
      </c>
      <c r="D152" s="158">
        <v>4</v>
      </c>
      <c r="E152" s="111">
        <v>5100</v>
      </c>
      <c r="F152" s="267">
        <f>D152*E152</f>
        <v>20400</v>
      </c>
      <c r="G152" s="194"/>
      <c r="H152" s="113"/>
    </row>
    <row r="153" spans="2:8" ht="31.5" x14ac:dyDescent="0.25">
      <c r="B153" s="109" t="s">
        <v>209</v>
      </c>
      <c r="C153" s="103" t="s">
        <v>180</v>
      </c>
      <c r="D153" s="158">
        <v>12</v>
      </c>
      <c r="E153" s="111">
        <v>900</v>
      </c>
      <c r="F153" s="267">
        <f>D153*E153</f>
        <v>10800</v>
      </c>
      <c r="G153" s="194"/>
      <c r="H153" s="113"/>
    </row>
    <row r="154" spans="2:8" ht="15.95" customHeight="1" x14ac:dyDescent="0.25">
      <c r="B154" s="332" t="s">
        <v>104</v>
      </c>
      <c r="C154" s="332"/>
      <c r="D154" s="156"/>
      <c r="E154" s="157"/>
      <c r="F154" s="228">
        <f>SUM(F152:F153)</f>
        <v>31200</v>
      </c>
      <c r="G154" s="167"/>
    </row>
    <row r="155" spans="2:8" ht="15.95" customHeight="1" x14ac:dyDescent="0.25">
      <c r="B155" s="326" t="s">
        <v>112</v>
      </c>
      <c r="C155" s="326"/>
      <c r="D155" s="55"/>
      <c r="E155" s="136"/>
      <c r="F155" s="226"/>
      <c r="G155" s="167"/>
    </row>
    <row r="156" spans="2:8" ht="15.75" x14ac:dyDescent="0.25">
      <c r="B156" s="64" t="s">
        <v>210</v>
      </c>
      <c r="C156" s="82" t="s">
        <v>211</v>
      </c>
      <c r="D156" s="83">
        <v>227</v>
      </c>
      <c r="E156" s="67">
        <v>56.64</v>
      </c>
      <c r="F156" s="132">
        <f>D156*E156</f>
        <v>12857.28</v>
      </c>
      <c r="G156" s="167"/>
    </row>
    <row r="157" spans="2:8" ht="15.75" x14ac:dyDescent="0.25">
      <c r="B157" s="64" t="s">
        <v>212</v>
      </c>
      <c r="C157" s="82" t="s">
        <v>211</v>
      </c>
      <c r="D157" s="83">
        <v>227</v>
      </c>
      <c r="E157" s="67">
        <v>56.64</v>
      </c>
      <c r="F157" s="132">
        <f>D157*E157</f>
        <v>12857.28</v>
      </c>
      <c r="G157" s="167"/>
    </row>
    <row r="158" spans="2:8" ht="15.75" x14ac:dyDescent="0.25">
      <c r="B158" s="329" t="s">
        <v>104</v>
      </c>
      <c r="C158" s="329"/>
      <c r="D158" s="57"/>
      <c r="E158" s="57"/>
      <c r="F158" s="63">
        <f>SUM(F156:F157)</f>
        <v>25714.560000000001</v>
      </c>
      <c r="G158" s="167"/>
    </row>
    <row r="159" spans="2:8" ht="15.95" customHeight="1" x14ac:dyDescent="0.25">
      <c r="B159" s="326" t="s">
        <v>112</v>
      </c>
      <c r="C159" s="326"/>
      <c r="D159" s="55"/>
      <c r="E159" s="136"/>
      <c r="F159" s="226"/>
      <c r="G159" s="167"/>
    </row>
    <row r="160" spans="2:8" ht="31.5" x14ac:dyDescent="0.25">
      <c r="B160" s="65" t="s">
        <v>213</v>
      </c>
      <c r="C160" s="82" t="s">
        <v>214</v>
      </c>
      <c r="D160" s="83">
        <v>36</v>
      </c>
      <c r="E160" s="138">
        <v>3139.33</v>
      </c>
      <c r="F160" s="132">
        <v>113016</v>
      </c>
      <c r="G160" s="167"/>
    </row>
    <row r="161" spans="2:7" ht="15.75" x14ac:dyDescent="0.25">
      <c r="B161" s="65" t="s">
        <v>215</v>
      </c>
      <c r="C161" s="82" t="s">
        <v>163</v>
      </c>
      <c r="D161" s="83">
        <v>1</v>
      </c>
      <c r="E161" s="138">
        <v>11000</v>
      </c>
      <c r="F161" s="132">
        <f>D161*E161</f>
        <v>11000</v>
      </c>
      <c r="G161" s="167"/>
    </row>
    <row r="162" spans="2:7" ht="15.75" x14ac:dyDescent="0.25">
      <c r="B162" s="329" t="s">
        <v>104</v>
      </c>
      <c r="C162" s="329"/>
      <c r="D162" s="57"/>
      <c r="E162" s="57"/>
      <c r="F162" s="229">
        <f>SUM(F160:F161)</f>
        <v>124016</v>
      </c>
      <c r="G162" s="167"/>
    </row>
    <row r="163" spans="2:7" ht="15.95" customHeight="1" x14ac:dyDescent="0.25">
      <c r="B163" s="326" t="s">
        <v>124</v>
      </c>
      <c r="C163" s="326"/>
      <c r="D163" s="57"/>
      <c r="E163" s="57"/>
      <c r="F163" s="229"/>
      <c r="G163" s="167"/>
    </row>
    <row r="164" spans="2:7" ht="15.75" x14ac:dyDescent="0.25">
      <c r="B164" s="141" t="s">
        <v>216</v>
      </c>
      <c r="C164" s="82"/>
      <c r="D164" s="83"/>
      <c r="E164" s="88"/>
      <c r="F164" s="227"/>
      <c r="G164" s="167"/>
    </row>
    <row r="165" spans="2:7" ht="30" x14ac:dyDescent="0.25">
      <c r="B165" s="48" t="s">
        <v>217</v>
      </c>
      <c r="C165" s="82" t="s">
        <v>196</v>
      </c>
      <c r="D165" s="79">
        <v>3</v>
      </c>
      <c r="E165" s="169">
        <v>3000</v>
      </c>
      <c r="F165" s="230">
        <f>D165*E165</f>
        <v>9000</v>
      </c>
      <c r="G165" s="167"/>
    </row>
    <row r="166" spans="2:7" ht="30" x14ac:dyDescent="0.25">
      <c r="B166" s="48" t="s">
        <v>218</v>
      </c>
      <c r="C166" s="82" t="s">
        <v>196</v>
      </c>
      <c r="D166" s="79">
        <v>1</v>
      </c>
      <c r="E166" s="169">
        <v>13300</v>
      </c>
      <c r="F166" s="230">
        <f>D166*E166</f>
        <v>13300</v>
      </c>
      <c r="G166" s="167"/>
    </row>
    <row r="167" spans="2:7" ht="30" x14ac:dyDescent="0.25">
      <c r="B167" s="48" t="s">
        <v>219</v>
      </c>
      <c r="C167" s="82" t="s">
        <v>196</v>
      </c>
      <c r="D167" s="79">
        <v>1</v>
      </c>
      <c r="E167" s="169">
        <v>6900</v>
      </c>
      <c r="F167" s="230">
        <f>D167*E167</f>
        <v>6900</v>
      </c>
      <c r="G167" s="167"/>
    </row>
    <row r="168" spans="2:7" ht="15.95" customHeight="1" x14ac:dyDescent="0.25">
      <c r="B168" s="328" t="s">
        <v>158</v>
      </c>
      <c r="C168" s="328"/>
      <c r="D168" s="55"/>
      <c r="E168" s="143"/>
      <c r="F168" s="227">
        <f>SUM(F165:F167)</f>
        <v>29200</v>
      </c>
      <c r="G168" s="167"/>
    </row>
    <row r="169" spans="2:7" ht="15.75" x14ac:dyDescent="0.25">
      <c r="B169" s="170" t="s">
        <v>220</v>
      </c>
      <c r="C169" s="82" t="s">
        <v>114</v>
      </c>
      <c r="D169" s="97">
        <v>300</v>
      </c>
      <c r="E169" s="171">
        <v>100.98</v>
      </c>
      <c r="F169" s="132">
        <f>D169*E169</f>
        <v>30294</v>
      </c>
      <c r="G169" s="167"/>
    </row>
    <row r="170" spans="2:7" ht="15.95" customHeight="1" x14ac:dyDescent="0.25">
      <c r="B170" s="326" t="s">
        <v>112</v>
      </c>
      <c r="C170" s="326"/>
      <c r="D170" s="55"/>
      <c r="E170" s="136"/>
      <c r="F170" s="226"/>
      <c r="G170" s="167"/>
    </row>
    <row r="171" spans="2:7" ht="15.75" x14ac:dyDescent="0.25">
      <c r="B171" s="64" t="s">
        <v>221</v>
      </c>
      <c r="C171" s="82" t="s">
        <v>222</v>
      </c>
      <c r="D171" s="83">
        <v>9.1999999999999993</v>
      </c>
      <c r="E171" s="138"/>
      <c r="F171" s="66"/>
      <c r="G171" s="167"/>
    </row>
    <row r="172" spans="2:7" ht="15.75" x14ac:dyDescent="0.25">
      <c r="B172" s="64" t="s">
        <v>223</v>
      </c>
      <c r="C172" s="82" t="s">
        <v>222</v>
      </c>
      <c r="D172" s="83">
        <v>9</v>
      </c>
      <c r="E172" s="138"/>
      <c r="F172" s="66"/>
      <c r="G172" s="167"/>
    </row>
    <row r="173" spans="2:7" ht="15.75" x14ac:dyDescent="0.25">
      <c r="B173" s="64" t="s">
        <v>224</v>
      </c>
      <c r="C173" s="82"/>
      <c r="D173" s="83">
        <v>2000</v>
      </c>
      <c r="E173" s="138">
        <v>50.8</v>
      </c>
      <c r="F173" s="132">
        <f>D173*E173</f>
        <v>101600</v>
      </c>
      <c r="G173" s="172"/>
    </row>
    <row r="174" spans="2:7" ht="15.75" x14ac:dyDescent="0.25">
      <c r="B174" s="64" t="s">
        <v>224</v>
      </c>
      <c r="C174" s="82"/>
      <c r="D174" s="83">
        <v>1</v>
      </c>
      <c r="E174" s="138">
        <v>20.83</v>
      </c>
      <c r="F174" s="132">
        <f>D174*E174</f>
        <v>20.83</v>
      </c>
      <c r="G174" s="167"/>
    </row>
    <row r="175" spans="2:7" ht="15.75" x14ac:dyDescent="0.25">
      <c r="B175" s="329" t="s">
        <v>104</v>
      </c>
      <c r="C175" s="329"/>
      <c r="D175" s="57"/>
      <c r="E175" s="57"/>
      <c r="F175" s="229">
        <f>SUM(F173:F174)</f>
        <v>101620.83</v>
      </c>
      <c r="G175" s="167"/>
    </row>
    <row r="176" spans="2:7" ht="15.95" customHeight="1" x14ac:dyDescent="0.25">
      <c r="B176" s="326" t="s">
        <v>124</v>
      </c>
      <c r="C176" s="326"/>
      <c r="D176" s="103"/>
      <c r="E176" s="103"/>
      <c r="F176" s="231"/>
      <c r="G176" s="167"/>
    </row>
    <row r="177" spans="2:11" ht="15.75" x14ac:dyDescent="0.25">
      <c r="B177" s="108" t="s">
        <v>225</v>
      </c>
      <c r="C177" s="82" t="s">
        <v>163</v>
      </c>
      <c r="D177" s="83">
        <v>1</v>
      </c>
      <c r="E177" s="88">
        <v>1800</v>
      </c>
      <c r="F177" s="132">
        <v>1800</v>
      </c>
      <c r="G177" s="167"/>
    </row>
    <row r="178" spans="2:11" ht="15.75" x14ac:dyDescent="0.25">
      <c r="B178" s="109" t="s">
        <v>226</v>
      </c>
      <c r="C178" s="103" t="s">
        <v>163</v>
      </c>
      <c r="D178" s="158">
        <v>1</v>
      </c>
      <c r="E178" s="111">
        <v>4223.75</v>
      </c>
      <c r="F178" s="126">
        <f>D178*E178-0.01+29.97</f>
        <v>4253.71</v>
      </c>
      <c r="G178" s="167"/>
      <c r="H178" s="1"/>
    </row>
    <row r="179" spans="2:11" ht="15.95" customHeight="1" x14ac:dyDescent="0.25">
      <c r="B179" s="339" t="s">
        <v>158</v>
      </c>
      <c r="C179" s="339"/>
      <c r="D179" s="256"/>
      <c r="E179" s="256"/>
      <c r="F179" s="202">
        <f>SUM(F177:F178)</f>
        <v>6053.71</v>
      </c>
      <c r="G179" s="167"/>
      <c r="H179" s="1"/>
    </row>
    <row r="180" spans="2:11" ht="15.95" customHeight="1" x14ac:dyDescent="0.25">
      <c r="B180" s="339" t="s">
        <v>99</v>
      </c>
      <c r="C180" s="339"/>
      <c r="D180" s="256"/>
      <c r="E180" s="256"/>
      <c r="F180" s="202">
        <f>SUM(F175+F179)</f>
        <v>107674.54000000001</v>
      </c>
      <c r="G180" s="167"/>
      <c r="H180" s="1"/>
    </row>
    <row r="181" spans="2:11" ht="15.95" customHeight="1" x14ac:dyDescent="0.25">
      <c r="B181" s="269"/>
      <c r="C181" s="269"/>
      <c r="D181" s="269"/>
      <c r="E181" s="269"/>
      <c r="F181" s="265"/>
      <c r="G181" s="167"/>
      <c r="H181" s="1"/>
    </row>
    <row r="182" spans="2:11" ht="57" customHeight="1" x14ac:dyDescent="0.25">
      <c r="B182" s="115" t="s">
        <v>359</v>
      </c>
      <c r="C182" s="217" t="s">
        <v>346</v>
      </c>
      <c r="D182" s="213" t="s">
        <v>344</v>
      </c>
      <c r="E182" s="213" t="s">
        <v>345</v>
      </c>
      <c r="F182" s="134" t="s">
        <v>354</v>
      </c>
      <c r="G182" s="167"/>
      <c r="H182" s="1"/>
    </row>
    <row r="183" spans="2:11" ht="15.95" customHeight="1" x14ac:dyDescent="0.25">
      <c r="B183" s="115"/>
      <c r="C183" s="202"/>
      <c r="D183" s="115"/>
      <c r="E183" s="201"/>
      <c r="F183" s="134"/>
      <c r="G183" s="167"/>
      <c r="H183" s="1"/>
    </row>
    <row r="184" spans="2:11" ht="64.150000000000006" customHeight="1" x14ac:dyDescent="0.25">
      <c r="B184" s="125" t="s">
        <v>100</v>
      </c>
      <c r="C184" s="215">
        <v>0</v>
      </c>
      <c r="D184" s="218">
        <f>SUM(C19)</f>
        <v>103463471.80978</v>
      </c>
      <c r="E184" s="218">
        <f>SUM(D19)</f>
        <v>10452702.699999999</v>
      </c>
      <c r="F184" s="271">
        <f>SUM(C184:E184)</f>
        <v>113916174.50978</v>
      </c>
      <c r="G184" s="167"/>
      <c r="H184" s="1"/>
    </row>
    <row r="185" spans="2:11" ht="107.1" customHeight="1" x14ac:dyDescent="0.25">
      <c r="B185" s="216" t="s">
        <v>350</v>
      </c>
      <c r="C185" s="270">
        <f>SUM(F101+F126)</f>
        <v>433985.99599999998</v>
      </c>
      <c r="D185" s="222">
        <f>SUM(F35+F70+F112+F147+F150+F158+F162+F175)</f>
        <v>3181854.8600000003</v>
      </c>
      <c r="E185" s="223">
        <f>SUM(F39+F73+F93+F106+F118+F133+F135+F143+F154+F168+F169+F179)</f>
        <v>1882653.9400000002</v>
      </c>
      <c r="F185" s="272">
        <f>SUM(C185:E185)</f>
        <v>5498494.7960000001</v>
      </c>
      <c r="G185" s="167"/>
      <c r="H185" s="1">
        <f>SUM(B186-F185)</f>
        <v>8.3722714334726334E-3</v>
      </c>
    </row>
    <row r="186" spans="2:11" ht="15.95" customHeight="1" x14ac:dyDescent="0.25">
      <c r="B186" s="286">
        <f>SUM('расчет подушевого 2023'!C130)</f>
        <v>5498494.8043722715</v>
      </c>
      <c r="C186" s="287"/>
      <c r="D186" s="214"/>
      <c r="E186" s="214"/>
      <c r="F186" s="273"/>
      <c r="G186" s="167"/>
      <c r="H186" s="1"/>
    </row>
    <row r="187" spans="2:11" ht="15.95" customHeight="1" x14ac:dyDescent="0.25">
      <c r="B187" s="245"/>
      <c r="C187" s="214"/>
      <c r="D187" s="214"/>
      <c r="E187" s="214"/>
      <c r="F187" s="273"/>
      <c r="G187" s="167"/>
      <c r="H187" s="1"/>
    </row>
    <row r="188" spans="2:11" ht="15.95" customHeight="1" x14ac:dyDescent="0.25">
      <c r="B188" s="245">
        <f>SUM('расчет подушевого 2023'!C130+'расчет подушевого 2023'!C28+'расчет подушевого 2023'!C29)</f>
        <v>119414669.31437227</v>
      </c>
      <c r="C188" s="214"/>
      <c r="D188" s="214"/>
      <c r="E188" s="214"/>
      <c r="F188" s="273">
        <f>SUM(F184:F185)</f>
        <v>119414669.30578001</v>
      </c>
      <c r="G188" s="167"/>
      <c r="H188" s="1">
        <f>SUM(B188-F188)</f>
        <v>8.592262864112854E-3</v>
      </c>
    </row>
    <row r="189" spans="2:11" ht="15.95" customHeight="1" x14ac:dyDescent="0.25">
      <c r="B189" s="269"/>
      <c r="C189" s="269"/>
      <c r="D189" s="269"/>
      <c r="E189" s="269"/>
      <c r="F189" s="265"/>
      <c r="G189" s="167"/>
      <c r="H189" s="1"/>
    </row>
    <row r="190" spans="2:11" ht="85.15" customHeight="1" x14ac:dyDescent="0.25">
      <c r="B190" s="324" t="s">
        <v>376</v>
      </c>
      <c r="C190" s="324"/>
      <c r="D190" s="324"/>
      <c r="E190" s="324"/>
      <c r="F190" s="324"/>
      <c r="G190" s="324"/>
      <c r="H190" s="324"/>
      <c r="I190" s="324"/>
      <c r="J190" s="324"/>
      <c r="K190" s="324"/>
    </row>
    <row r="193" spans="2:14" ht="15.75" x14ac:dyDescent="0.25">
      <c r="B193" s="174" t="s">
        <v>227</v>
      </c>
    </row>
    <row r="194" spans="2:14" ht="15.75" x14ac:dyDescent="0.25">
      <c r="B194" s="174"/>
    </row>
    <row r="195" spans="2:14" ht="45" x14ac:dyDescent="0.25">
      <c r="B195" s="46" t="s">
        <v>101</v>
      </c>
      <c r="C195" s="47" t="s">
        <v>102</v>
      </c>
      <c r="D195" s="47" t="s">
        <v>103</v>
      </c>
      <c r="E195" s="47" t="s">
        <v>104</v>
      </c>
    </row>
    <row r="196" spans="2:14" ht="75" x14ac:dyDescent="0.25">
      <c r="B196" s="48" t="s">
        <v>374</v>
      </c>
      <c r="C196" s="49">
        <f>SUM([2]Лист7!B2)</f>
        <v>7850144.4400000004</v>
      </c>
      <c r="D196" s="49">
        <v>4497957.3899999997</v>
      </c>
      <c r="E196" s="49">
        <f>SUM(C196:D196)</f>
        <v>12348101.83</v>
      </c>
      <c r="F196" s="1"/>
      <c r="G196" s="1"/>
      <c r="H196" s="1"/>
    </row>
    <row r="197" spans="2:14" ht="75" x14ac:dyDescent="0.25">
      <c r="B197" s="48" t="s">
        <v>375</v>
      </c>
      <c r="C197" s="49">
        <f>SUM([2]Лист7!H2)</f>
        <v>2370743.6208799998</v>
      </c>
      <c r="D197" s="49">
        <v>1358383.13</v>
      </c>
      <c r="E197" s="49">
        <f>SUM(C197:D197)</f>
        <v>3729126.7508799997</v>
      </c>
    </row>
    <row r="198" spans="2:14" ht="30" x14ac:dyDescent="0.25">
      <c r="B198" s="219" t="s">
        <v>351</v>
      </c>
      <c r="C198" s="49">
        <v>185103.02</v>
      </c>
      <c r="D198" s="49"/>
      <c r="E198" s="49">
        <f>SUM(C198:D198)</f>
        <v>185103.02</v>
      </c>
    </row>
    <row r="199" spans="2:14" x14ac:dyDescent="0.25">
      <c r="B199" s="50" t="s">
        <v>105</v>
      </c>
      <c r="C199" s="49"/>
      <c r="D199" s="49">
        <f>-3386361.99+0.29-0.2</f>
        <v>-3386361.9000000004</v>
      </c>
      <c r="E199" s="49">
        <f>SUM(C199:D199)</f>
        <v>-3386361.9000000004</v>
      </c>
    </row>
    <row r="200" spans="2:14" x14ac:dyDescent="0.25">
      <c r="B200" s="50" t="s">
        <v>106</v>
      </c>
      <c r="C200" s="49">
        <v>55901.1</v>
      </c>
      <c r="D200" s="49">
        <f>-1022681.29-0.02</f>
        <v>-1022681.31</v>
      </c>
      <c r="E200" s="49">
        <f>SUM(C200:D200)</f>
        <v>-966780.21000000008</v>
      </c>
      <c r="F200" s="1"/>
      <c r="G200" s="1"/>
      <c r="H200" s="1"/>
    </row>
    <row r="201" spans="2:14" x14ac:dyDescent="0.25">
      <c r="B201" s="50"/>
      <c r="C201" s="49"/>
      <c r="D201" s="49"/>
      <c r="E201" s="49"/>
    </row>
    <row r="202" spans="2:14" x14ac:dyDescent="0.25">
      <c r="B202" s="50"/>
      <c r="C202" s="52">
        <f>SUM(C196:C201)</f>
        <v>10461892.180879999</v>
      </c>
      <c r="D202" s="52">
        <f>SUM(D196:D201)</f>
        <v>1447297.3099999991</v>
      </c>
      <c r="E202" s="52">
        <f>SUM(C202:D202)</f>
        <v>11909189.490879998</v>
      </c>
      <c r="F202" s="1"/>
      <c r="G202" s="1"/>
      <c r="H202" s="1">
        <f>SUM('расчет подушевого 2023'!C59:C60)</f>
        <v>11909189.489999998</v>
      </c>
    </row>
    <row r="203" spans="2:14" ht="15.75" x14ac:dyDescent="0.25">
      <c r="B203" s="174"/>
    </row>
    <row r="204" spans="2:14" ht="15.75" x14ac:dyDescent="0.25">
      <c r="B204" s="174"/>
    </row>
    <row r="205" spans="2:14" ht="24.4" customHeight="1" x14ac:dyDescent="0.25">
      <c r="B205" s="174" t="s">
        <v>228</v>
      </c>
      <c r="C205" s="176"/>
      <c r="D205" s="176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</row>
    <row r="207" spans="2:14" ht="31.5" x14ac:dyDescent="0.25">
      <c r="B207" s="55" t="s">
        <v>107</v>
      </c>
      <c r="C207" s="55" t="s">
        <v>170</v>
      </c>
      <c r="D207" s="55" t="s">
        <v>127</v>
      </c>
      <c r="E207" s="55" t="s">
        <v>128</v>
      </c>
      <c r="F207" s="55" t="s">
        <v>229</v>
      </c>
      <c r="G207" s="135"/>
    </row>
    <row r="208" spans="2:14" ht="15.75" x14ac:dyDescent="0.25">
      <c r="B208" s="55">
        <v>1</v>
      </c>
      <c r="C208" s="55">
        <v>2</v>
      </c>
      <c r="D208" s="55">
        <v>3</v>
      </c>
      <c r="E208" s="136">
        <v>4</v>
      </c>
      <c r="F208" s="136">
        <v>5</v>
      </c>
      <c r="G208" s="137"/>
    </row>
    <row r="209" spans="2:8" ht="15.95" customHeight="1" x14ac:dyDescent="0.25">
      <c r="B209" s="326" t="s">
        <v>112</v>
      </c>
      <c r="C209" s="326"/>
      <c r="D209" s="55"/>
      <c r="E209" s="136"/>
      <c r="F209" s="136"/>
      <c r="G209" s="137"/>
    </row>
    <row r="210" spans="2:8" ht="31.5" x14ac:dyDescent="0.25">
      <c r="B210" s="65" t="s">
        <v>230</v>
      </c>
      <c r="C210" s="82" t="s">
        <v>163</v>
      </c>
      <c r="D210" s="83">
        <v>1</v>
      </c>
      <c r="E210" s="302">
        <f>78500.53-39355.8</f>
        <v>39144.729999999996</v>
      </c>
      <c r="F210" s="224">
        <f>SUM(D210*E210)</f>
        <v>39144.729999999996</v>
      </c>
      <c r="G210" s="139"/>
      <c r="H210" s="195"/>
    </row>
    <row r="211" spans="2:8" ht="31.5" x14ac:dyDescent="0.25">
      <c r="B211" s="65" t="s">
        <v>231</v>
      </c>
      <c r="C211" s="82" t="s">
        <v>163</v>
      </c>
      <c r="D211" s="83">
        <v>0</v>
      </c>
      <c r="E211" s="67">
        <v>0</v>
      </c>
      <c r="F211" s="224">
        <f>SUM(D211*E211)</f>
        <v>0</v>
      </c>
      <c r="G211" s="177"/>
    </row>
    <row r="212" spans="2:8" x14ac:dyDescent="0.25">
      <c r="B212" s="329" t="s">
        <v>104</v>
      </c>
      <c r="C212" s="329"/>
      <c r="D212" s="57"/>
      <c r="E212" s="57"/>
      <c r="F212" s="274">
        <f>SUM(F210:F211)</f>
        <v>39144.729999999996</v>
      </c>
      <c r="G212" s="69"/>
    </row>
    <row r="213" spans="2:8" ht="15" customHeight="1" x14ac:dyDescent="0.25">
      <c r="B213" s="326" t="s">
        <v>124</v>
      </c>
      <c r="C213" s="326"/>
      <c r="G213" s="15"/>
    </row>
    <row r="214" spans="2:8" ht="15.75" x14ac:dyDescent="0.25">
      <c r="B214" s="141" t="s">
        <v>216</v>
      </c>
      <c r="C214" s="82"/>
      <c r="D214" s="83"/>
      <c r="E214" s="88"/>
      <c r="F214" s="262"/>
      <c r="G214" s="144"/>
    </row>
    <row r="215" spans="2:8" ht="15.75" x14ac:dyDescent="0.25">
      <c r="B215" s="48" t="s">
        <v>232</v>
      </c>
      <c r="C215" s="82" t="s">
        <v>196</v>
      </c>
      <c r="D215" s="79">
        <v>1</v>
      </c>
      <c r="E215" s="169">
        <v>5600</v>
      </c>
      <c r="F215" s="275">
        <f t="shared" ref="F215:F222" si="5">D215*E215</f>
        <v>5600</v>
      </c>
      <c r="G215" s="161"/>
      <c r="H215" s="196"/>
    </row>
    <row r="216" spans="2:8" ht="30" x14ac:dyDescent="0.25">
      <c r="B216" s="48" t="s">
        <v>233</v>
      </c>
      <c r="C216" s="82" t="s">
        <v>196</v>
      </c>
      <c r="D216" s="79">
        <v>2</v>
      </c>
      <c r="E216" s="169">
        <v>5775</v>
      </c>
      <c r="F216" s="275">
        <f t="shared" si="5"/>
        <v>11550</v>
      </c>
      <c r="G216" s="161"/>
      <c r="H216" s="196"/>
    </row>
    <row r="217" spans="2:8" ht="15.75" x14ac:dyDescent="0.25">
      <c r="B217" s="48" t="s">
        <v>234</v>
      </c>
      <c r="C217" s="82" t="s">
        <v>196</v>
      </c>
      <c r="D217" s="79">
        <v>1</v>
      </c>
      <c r="E217" s="169">
        <v>9000</v>
      </c>
      <c r="F217" s="275">
        <f t="shared" si="5"/>
        <v>9000</v>
      </c>
      <c r="G217" s="161"/>
      <c r="H217" s="196"/>
    </row>
    <row r="218" spans="2:8" ht="15.75" x14ac:dyDescent="0.25">
      <c r="B218" s="48" t="s">
        <v>235</v>
      </c>
      <c r="C218" s="82" t="s">
        <v>196</v>
      </c>
      <c r="D218" s="79">
        <v>2</v>
      </c>
      <c r="E218" s="169">
        <v>11550</v>
      </c>
      <c r="F218" s="275">
        <f t="shared" si="5"/>
        <v>23100</v>
      </c>
      <c r="G218" s="161"/>
      <c r="H218" s="196"/>
    </row>
    <row r="219" spans="2:8" ht="15.75" x14ac:dyDescent="0.25">
      <c r="B219" s="48" t="s">
        <v>236</v>
      </c>
      <c r="C219" s="82" t="s">
        <v>196</v>
      </c>
      <c r="D219" s="79">
        <v>1</v>
      </c>
      <c r="E219" s="169">
        <v>1500</v>
      </c>
      <c r="F219" s="275">
        <f t="shared" si="5"/>
        <v>1500</v>
      </c>
      <c r="G219" s="161"/>
      <c r="H219" s="196"/>
    </row>
    <row r="220" spans="2:8" ht="15.75" x14ac:dyDescent="0.25">
      <c r="B220" s="48" t="s">
        <v>235</v>
      </c>
      <c r="C220" s="82" t="s">
        <v>196</v>
      </c>
      <c r="D220" s="79">
        <v>1</v>
      </c>
      <c r="E220" s="169">
        <v>11550</v>
      </c>
      <c r="F220" s="275">
        <f t="shared" si="5"/>
        <v>11550</v>
      </c>
      <c r="G220" s="161"/>
      <c r="H220" s="196"/>
    </row>
    <row r="221" spans="2:8" ht="15.75" x14ac:dyDescent="0.25">
      <c r="B221" s="48" t="s">
        <v>237</v>
      </c>
      <c r="C221" s="82" t="s">
        <v>196</v>
      </c>
      <c r="D221" s="79">
        <v>1</v>
      </c>
      <c r="E221" s="169">
        <v>6560</v>
      </c>
      <c r="F221" s="275">
        <f t="shared" si="5"/>
        <v>6560</v>
      </c>
      <c r="G221" s="161"/>
      <c r="H221" s="196"/>
    </row>
    <row r="222" spans="2:8" ht="15.75" x14ac:dyDescent="0.25">
      <c r="B222" s="48" t="s">
        <v>236</v>
      </c>
      <c r="C222" s="82" t="s">
        <v>196</v>
      </c>
      <c r="D222" s="79">
        <v>3</v>
      </c>
      <c r="E222" s="169">
        <v>4500</v>
      </c>
      <c r="F222" s="275">
        <f t="shared" si="5"/>
        <v>13500</v>
      </c>
      <c r="G222" s="161"/>
      <c r="H222" s="196"/>
    </row>
    <row r="223" spans="2:8" ht="15.95" customHeight="1" x14ac:dyDescent="0.25">
      <c r="B223" s="328" t="s">
        <v>158</v>
      </c>
      <c r="C223" s="328"/>
      <c r="D223" s="55"/>
      <c r="E223" s="143"/>
      <c r="F223" s="262">
        <f>SUM(F215:F222)</f>
        <v>82360</v>
      </c>
      <c r="G223" s="144"/>
    </row>
    <row r="224" spans="2:8" x14ac:dyDescent="0.25">
      <c r="G224" s="15"/>
    </row>
    <row r="225" spans="2:8" ht="15.95" customHeight="1" x14ac:dyDescent="0.25">
      <c r="B225" s="326" t="s">
        <v>112</v>
      </c>
      <c r="C225" s="326"/>
      <c r="D225" s="55"/>
      <c r="E225" s="136"/>
      <c r="F225" s="145"/>
      <c r="G225" s="178"/>
    </row>
    <row r="226" spans="2:8" ht="15.75" x14ac:dyDescent="0.25">
      <c r="B226" s="65" t="s">
        <v>238</v>
      </c>
      <c r="C226" s="82" t="s">
        <v>163</v>
      </c>
      <c r="D226" s="138">
        <v>1</v>
      </c>
      <c r="E226" s="138">
        <v>55140</v>
      </c>
      <c r="F226" s="257">
        <f>D226*E226</f>
        <v>55140</v>
      </c>
      <c r="G226" s="197"/>
      <c r="H226" s="140"/>
    </row>
    <row r="227" spans="2:8" ht="15.95" customHeight="1" x14ac:dyDescent="0.25">
      <c r="B227" s="328" t="s">
        <v>158</v>
      </c>
      <c r="C227" s="328"/>
      <c r="D227" s="55"/>
      <c r="E227" s="143"/>
      <c r="F227" s="262">
        <f>SUM(F226:F226)</f>
        <v>55140</v>
      </c>
      <c r="G227" s="144"/>
    </row>
    <row r="228" spans="2:8" x14ac:dyDescent="0.25">
      <c r="G228" s="15"/>
    </row>
    <row r="229" spans="2:8" ht="15.95" customHeight="1" x14ac:dyDescent="0.25">
      <c r="B229" s="326" t="s">
        <v>124</v>
      </c>
      <c r="C229" s="326"/>
      <c r="D229" s="103"/>
      <c r="E229" s="103"/>
      <c r="F229" s="276"/>
      <c r="G229" s="105"/>
    </row>
    <row r="230" spans="2:8" ht="31.5" x14ac:dyDescent="0.25">
      <c r="B230" s="142" t="s">
        <v>239</v>
      </c>
      <c r="C230" s="82" t="s">
        <v>163</v>
      </c>
      <c r="D230" s="83"/>
      <c r="E230" s="88"/>
      <c r="F230" s="257"/>
      <c r="G230" s="85"/>
    </row>
    <row r="231" spans="2:8" ht="31.5" x14ac:dyDescent="0.25">
      <c r="B231" s="65" t="s">
        <v>240</v>
      </c>
      <c r="C231" s="82" t="s">
        <v>114</v>
      </c>
      <c r="D231" s="83">
        <v>1</v>
      </c>
      <c r="E231" s="88">
        <v>350</v>
      </c>
      <c r="F231" s="257">
        <f t="shared" ref="F231:F267" si="6">D231*E231</f>
        <v>350</v>
      </c>
      <c r="G231" s="139"/>
      <c r="H231" s="107"/>
    </row>
    <row r="232" spans="2:8" ht="31.5" x14ac:dyDescent="0.25">
      <c r="B232" s="65" t="s">
        <v>241</v>
      </c>
      <c r="C232" s="82" t="s">
        <v>114</v>
      </c>
      <c r="D232" s="83">
        <v>1</v>
      </c>
      <c r="E232" s="88">
        <v>700</v>
      </c>
      <c r="F232" s="257">
        <f t="shared" si="6"/>
        <v>700</v>
      </c>
      <c r="G232" s="139"/>
      <c r="H232" s="107"/>
    </row>
    <row r="233" spans="2:8" ht="63" x14ac:dyDescent="0.25">
      <c r="B233" s="65" t="s">
        <v>242</v>
      </c>
      <c r="C233" s="82" t="s">
        <v>114</v>
      </c>
      <c r="D233" s="83">
        <v>1</v>
      </c>
      <c r="E233" s="88">
        <v>350</v>
      </c>
      <c r="F233" s="257">
        <f t="shared" si="6"/>
        <v>350</v>
      </c>
      <c r="G233" s="139"/>
      <c r="H233" s="107"/>
    </row>
    <row r="234" spans="2:8" ht="31.5" x14ac:dyDescent="0.25">
      <c r="B234" s="65" t="s">
        <v>243</v>
      </c>
      <c r="C234" s="82" t="s">
        <v>114</v>
      </c>
      <c r="D234" s="83">
        <v>1</v>
      </c>
      <c r="E234" s="88">
        <v>1400</v>
      </c>
      <c r="F234" s="257">
        <f t="shared" si="6"/>
        <v>1400</v>
      </c>
      <c r="G234" s="139"/>
      <c r="H234" s="107"/>
    </row>
    <row r="235" spans="2:8" ht="31.5" x14ac:dyDescent="0.25">
      <c r="B235" s="65" t="s">
        <v>244</v>
      </c>
      <c r="C235" s="82" t="s">
        <v>114</v>
      </c>
      <c r="D235" s="83">
        <v>1</v>
      </c>
      <c r="E235" s="88">
        <v>850</v>
      </c>
      <c r="F235" s="257">
        <f t="shared" si="6"/>
        <v>850</v>
      </c>
      <c r="G235" s="139"/>
      <c r="H235" s="107"/>
    </row>
    <row r="236" spans="2:8" ht="63" x14ac:dyDescent="0.25">
      <c r="B236" s="65" t="s">
        <v>245</v>
      </c>
      <c r="C236" s="82" t="s">
        <v>114</v>
      </c>
      <c r="D236" s="83">
        <v>1</v>
      </c>
      <c r="E236" s="88">
        <v>1600</v>
      </c>
      <c r="F236" s="257">
        <f t="shared" si="6"/>
        <v>1600</v>
      </c>
      <c r="G236" s="139"/>
      <c r="H236" s="107"/>
    </row>
    <row r="237" spans="2:8" ht="31.5" x14ac:dyDescent="0.25">
      <c r="B237" s="65" t="s">
        <v>246</v>
      </c>
      <c r="C237" s="82" t="s">
        <v>114</v>
      </c>
      <c r="D237" s="83">
        <v>1</v>
      </c>
      <c r="E237" s="88">
        <v>2080</v>
      </c>
      <c r="F237" s="257">
        <f t="shared" si="6"/>
        <v>2080</v>
      </c>
      <c r="G237" s="139"/>
      <c r="H237" s="107"/>
    </row>
    <row r="238" spans="2:8" ht="47.25" x14ac:dyDescent="0.25">
      <c r="B238" s="65" t="s">
        <v>247</v>
      </c>
      <c r="C238" s="82" t="s">
        <v>114</v>
      </c>
      <c r="D238" s="83">
        <v>1</v>
      </c>
      <c r="E238" s="88">
        <v>600</v>
      </c>
      <c r="F238" s="257">
        <f t="shared" si="6"/>
        <v>600</v>
      </c>
      <c r="G238" s="139"/>
      <c r="H238" s="107"/>
    </row>
    <row r="239" spans="2:8" ht="47.25" x14ac:dyDescent="0.25">
      <c r="B239" s="65" t="s">
        <v>248</v>
      </c>
      <c r="C239" s="82" t="s">
        <v>114</v>
      </c>
      <c r="D239" s="83">
        <v>1</v>
      </c>
      <c r="E239" s="88">
        <v>1500</v>
      </c>
      <c r="F239" s="257">
        <f t="shared" si="6"/>
        <v>1500</v>
      </c>
      <c r="G239" s="139"/>
      <c r="H239" s="107"/>
    </row>
    <row r="240" spans="2:8" ht="47.25" x14ac:dyDescent="0.25">
      <c r="B240" s="65" t="s">
        <v>249</v>
      </c>
      <c r="C240" s="82" t="s">
        <v>114</v>
      </c>
      <c r="D240" s="83">
        <v>1</v>
      </c>
      <c r="E240" s="88">
        <v>850</v>
      </c>
      <c r="F240" s="257">
        <f t="shared" si="6"/>
        <v>850</v>
      </c>
      <c r="G240" s="139"/>
      <c r="H240" s="107"/>
    </row>
    <row r="241" spans="2:8" ht="31.5" x14ac:dyDescent="0.25">
      <c r="B241" s="65" t="s">
        <v>250</v>
      </c>
      <c r="C241" s="82" t="s">
        <v>114</v>
      </c>
      <c r="D241" s="83">
        <v>3</v>
      </c>
      <c r="E241" s="88">
        <v>500</v>
      </c>
      <c r="F241" s="257">
        <f t="shared" si="6"/>
        <v>1500</v>
      </c>
      <c r="G241" s="139"/>
      <c r="H241" s="107"/>
    </row>
    <row r="242" spans="2:8" ht="47.25" x14ac:dyDescent="0.25">
      <c r="B242" s="65" t="s">
        <v>251</v>
      </c>
      <c r="C242" s="82" t="s">
        <v>114</v>
      </c>
      <c r="D242" s="83">
        <v>2</v>
      </c>
      <c r="E242" s="88">
        <v>400</v>
      </c>
      <c r="F242" s="257">
        <f t="shared" si="6"/>
        <v>800</v>
      </c>
      <c r="G242" s="139"/>
      <c r="H242" s="107"/>
    </row>
    <row r="243" spans="2:8" ht="31.5" x14ac:dyDescent="0.25">
      <c r="B243" s="65" t="s">
        <v>252</v>
      </c>
      <c r="C243" s="82" t="s">
        <v>114</v>
      </c>
      <c r="D243" s="83">
        <v>1</v>
      </c>
      <c r="E243" s="88">
        <v>500</v>
      </c>
      <c r="F243" s="257">
        <f t="shared" si="6"/>
        <v>500</v>
      </c>
      <c r="G243" s="139"/>
      <c r="H243" s="107"/>
    </row>
    <row r="244" spans="2:8" ht="31.5" x14ac:dyDescent="0.25">
      <c r="B244" s="65" t="s">
        <v>243</v>
      </c>
      <c r="C244" s="82" t="s">
        <v>114</v>
      </c>
      <c r="D244" s="83">
        <v>1</v>
      </c>
      <c r="E244" s="88">
        <v>1400</v>
      </c>
      <c r="F244" s="257">
        <f t="shared" si="6"/>
        <v>1400</v>
      </c>
      <c r="G244" s="139"/>
      <c r="H244" s="107"/>
    </row>
    <row r="245" spans="2:8" ht="47.25" x14ac:dyDescent="0.25">
      <c r="B245" s="65" t="s">
        <v>248</v>
      </c>
      <c r="C245" s="82" t="s">
        <v>114</v>
      </c>
      <c r="D245" s="83">
        <v>1</v>
      </c>
      <c r="E245" s="88">
        <v>1500</v>
      </c>
      <c r="F245" s="257">
        <f t="shared" si="6"/>
        <v>1500</v>
      </c>
      <c r="G245" s="139"/>
      <c r="H245" s="107"/>
    </row>
    <row r="246" spans="2:8" ht="47.25" x14ac:dyDescent="0.25">
      <c r="B246" s="65" t="s">
        <v>253</v>
      </c>
      <c r="C246" s="82" t="s">
        <v>114</v>
      </c>
      <c r="D246" s="83">
        <v>2</v>
      </c>
      <c r="E246" s="88">
        <v>700</v>
      </c>
      <c r="F246" s="257">
        <f t="shared" si="6"/>
        <v>1400</v>
      </c>
      <c r="G246" s="139"/>
      <c r="H246" s="107"/>
    </row>
    <row r="247" spans="2:8" ht="31.5" x14ac:dyDescent="0.25">
      <c r="B247" s="65" t="s">
        <v>254</v>
      </c>
      <c r="C247" s="82" t="s">
        <v>114</v>
      </c>
      <c r="D247" s="83">
        <v>3</v>
      </c>
      <c r="E247" s="88">
        <v>400</v>
      </c>
      <c r="F247" s="257">
        <f t="shared" si="6"/>
        <v>1200</v>
      </c>
      <c r="G247" s="139"/>
      <c r="H247" s="107"/>
    </row>
    <row r="248" spans="2:8" ht="15.75" x14ac:dyDescent="0.25">
      <c r="B248" s="65" t="s">
        <v>255</v>
      </c>
      <c r="C248" s="82" t="s">
        <v>114</v>
      </c>
      <c r="D248" s="83">
        <v>1</v>
      </c>
      <c r="E248" s="88">
        <v>1300</v>
      </c>
      <c r="F248" s="257">
        <f t="shared" si="6"/>
        <v>1300</v>
      </c>
      <c r="G248" s="139"/>
      <c r="H248" s="107"/>
    </row>
    <row r="249" spans="2:8" ht="31.5" x14ac:dyDescent="0.25">
      <c r="B249" s="65" t="s">
        <v>240</v>
      </c>
      <c r="C249" s="82" t="s">
        <v>114</v>
      </c>
      <c r="D249" s="83">
        <v>1</v>
      </c>
      <c r="E249" s="88">
        <v>450</v>
      </c>
      <c r="F249" s="257">
        <f t="shared" si="6"/>
        <v>450</v>
      </c>
      <c r="G249" s="139"/>
      <c r="H249" s="107"/>
    </row>
    <row r="250" spans="2:8" ht="31.5" x14ac:dyDescent="0.25">
      <c r="B250" s="65" t="s">
        <v>256</v>
      </c>
      <c r="C250" s="82" t="s">
        <v>114</v>
      </c>
      <c r="D250" s="83">
        <v>1</v>
      </c>
      <c r="E250" s="88">
        <v>1450</v>
      </c>
      <c r="F250" s="257">
        <f t="shared" si="6"/>
        <v>1450</v>
      </c>
      <c r="G250" s="139"/>
      <c r="H250" s="107"/>
    </row>
    <row r="251" spans="2:8" ht="63" x14ac:dyDescent="0.25">
      <c r="B251" s="65" t="s">
        <v>242</v>
      </c>
      <c r="C251" s="82" t="s">
        <v>114</v>
      </c>
      <c r="D251" s="83">
        <v>1</v>
      </c>
      <c r="E251" s="88">
        <v>450</v>
      </c>
      <c r="F251" s="257">
        <f t="shared" si="6"/>
        <v>450</v>
      </c>
      <c r="G251" s="139"/>
      <c r="H251" s="107"/>
    </row>
    <row r="252" spans="2:8" ht="31.5" x14ac:dyDescent="0.25">
      <c r="B252" s="65" t="s">
        <v>257</v>
      </c>
      <c r="C252" s="82" t="s">
        <v>114</v>
      </c>
      <c r="D252" s="83">
        <v>1</v>
      </c>
      <c r="E252" s="88">
        <v>450</v>
      </c>
      <c r="F252" s="257">
        <f t="shared" si="6"/>
        <v>450</v>
      </c>
      <c r="G252" s="139"/>
      <c r="H252" s="107"/>
    </row>
    <row r="253" spans="2:8" ht="31.5" x14ac:dyDescent="0.25">
      <c r="B253" s="65" t="s">
        <v>258</v>
      </c>
      <c r="C253" s="82" t="s">
        <v>114</v>
      </c>
      <c r="D253" s="83">
        <v>1</v>
      </c>
      <c r="E253" s="88">
        <v>500</v>
      </c>
      <c r="F253" s="257">
        <f t="shared" si="6"/>
        <v>500</v>
      </c>
      <c r="G253" s="139"/>
      <c r="H253" s="107"/>
    </row>
    <row r="254" spans="2:8" ht="15.75" x14ac:dyDescent="0.25">
      <c r="B254" s="65" t="s">
        <v>259</v>
      </c>
      <c r="C254" s="82" t="s">
        <v>114</v>
      </c>
      <c r="D254" s="83">
        <v>2</v>
      </c>
      <c r="E254" s="88">
        <v>450</v>
      </c>
      <c r="F254" s="257">
        <f t="shared" si="6"/>
        <v>900</v>
      </c>
      <c r="G254" s="139"/>
      <c r="H254" s="107"/>
    </row>
    <row r="255" spans="2:8" ht="31.5" x14ac:dyDescent="0.25">
      <c r="B255" s="65" t="s">
        <v>260</v>
      </c>
      <c r="C255" s="82" t="s">
        <v>114</v>
      </c>
      <c r="D255" s="83">
        <v>1</v>
      </c>
      <c r="E255" s="88">
        <v>1400</v>
      </c>
      <c r="F255" s="257">
        <f t="shared" si="6"/>
        <v>1400</v>
      </c>
      <c r="G255" s="139"/>
      <c r="H255" s="107"/>
    </row>
    <row r="256" spans="2:8" ht="31.5" x14ac:dyDescent="0.25">
      <c r="B256" s="65" t="s">
        <v>261</v>
      </c>
      <c r="C256" s="82" t="s">
        <v>114</v>
      </c>
      <c r="D256" s="83">
        <v>1</v>
      </c>
      <c r="E256" s="88">
        <v>750</v>
      </c>
      <c r="F256" s="257">
        <f t="shared" si="6"/>
        <v>750</v>
      </c>
      <c r="G256" s="139"/>
      <c r="H256" s="107"/>
    </row>
    <row r="257" spans="2:8" ht="15.75" x14ac:dyDescent="0.25">
      <c r="B257" s="65" t="s">
        <v>262</v>
      </c>
      <c r="C257" s="82" t="s">
        <v>114</v>
      </c>
      <c r="D257" s="83">
        <v>2</v>
      </c>
      <c r="E257" s="88">
        <v>1600</v>
      </c>
      <c r="F257" s="257">
        <f t="shared" si="6"/>
        <v>3200</v>
      </c>
      <c r="G257" s="139"/>
      <c r="H257" s="107"/>
    </row>
    <row r="258" spans="2:8" ht="15.75" x14ac:dyDescent="0.25">
      <c r="B258" s="65" t="s">
        <v>263</v>
      </c>
      <c r="C258" s="82" t="s">
        <v>114</v>
      </c>
      <c r="D258" s="83">
        <v>1</v>
      </c>
      <c r="E258" s="88">
        <v>300</v>
      </c>
      <c r="F258" s="257">
        <f t="shared" si="6"/>
        <v>300</v>
      </c>
      <c r="G258" s="139"/>
      <c r="H258" s="107"/>
    </row>
    <row r="259" spans="2:8" ht="15.75" x14ac:dyDescent="0.25">
      <c r="B259" s="65" t="s">
        <v>264</v>
      </c>
      <c r="C259" s="82" t="s">
        <v>114</v>
      </c>
      <c r="D259" s="83">
        <v>1</v>
      </c>
      <c r="E259" s="88">
        <v>6500</v>
      </c>
      <c r="F259" s="257">
        <f t="shared" si="6"/>
        <v>6500</v>
      </c>
      <c r="G259" s="139"/>
      <c r="H259" s="107"/>
    </row>
    <row r="260" spans="2:8" ht="31.5" x14ac:dyDescent="0.25">
      <c r="B260" s="65" t="s">
        <v>265</v>
      </c>
      <c r="C260" s="82" t="s">
        <v>114</v>
      </c>
      <c r="D260" s="83">
        <v>1</v>
      </c>
      <c r="E260" s="88">
        <v>500</v>
      </c>
      <c r="F260" s="257">
        <f t="shared" si="6"/>
        <v>500</v>
      </c>
      <c r="G260" s="139"/>
      <c r="H260" s="107"/>
    </row>
    <row r="261" spans="2:8" ht="15.75" x14ac:dyDescent="0.25">
      <c r="B261" s="65" t="s">
        <v>266</v>
      </c>
      <c r="C261" s="82" t="s">
        <v>114</v>
      </c>
      <c r="D261" s="83">
        <v>1</v>
      </c>
      <c r="E261" s="88">
        <v>450</v>
      </c>
      <c r="F261" s="257">
        <f t="shared" si="6"/>
        <v>450</v>
      </c>
      <c r="G261" s="139"/>
      <c r="H261" s="107"/>
    </row>
    <row r="262" spans="2:8" ht="15.75" x14ac:dyDescent="0.25">
      <c r="B262" s="65" t="s">
        <v>267</v>
      </c>
      <c r="C262" s="82" t="s">
        <v>114</v>
      </c>
      <c r="D262" s="83">
        <v>3</v>
      </c>
      <c r="E262" s="88">
        <v>400</v>
      </c>
      <c r="F262" s="257">
        <f t="shared" si="6"/>
        <v>1200</v>
      </c>
      <c r="G262" s="139"/>
      <c r="H262" s="107"/>
    </row>
    <row r="263" spans="2:8" ht="15.75" x14ac:dyDescent="0.25">
      <c r="B263" s="65" t="s">
        <v>264</v>
      </c>
      <c r="C263" s="82" t="s">
        <v>114</v>
      </c>
      <c r="D263" s="83">
        <v>1</v>
      </c>
      <c r="E263" s="88">
        <f>6350-2306.34-297</f>
        <v>3746.66</v>
      </c>
      <c r="F263" s="257">
        <f t="shared" si="6"/>
        <v>3746.66</v>
      </c>
      <c r="G263" s="139"/>
      <c r="H263" s="107"/>
    </row>
    <row r="264" spans="2:8" ht="15.75" x14ac:dyDescent="0.25">
      <c r="B264" s="65" t="s">
        <v>268</v>
      </c>
      <c r="C264" s="82" t="s">
        <v>114</v>
      </c>
      <c r="D264" s="83">
        <v>1</v>
      </c>
      <c r="E264" s="88">
        <v>2000</v>
      </c>
      <c r="F264" s="257">
        <f t="shared" si="6"/>
        <v>2000</v>
      </c>
      <c r="G264" s="139"/>
      <c r="H264" s="107"/>
    </row>
    <row r="265" spans="2:8" ht="15.75" x14ac:dyDescent="0.25">
      <c r="B265" s="65" t="s">
        <v>269</v>
      </c>
      <c r="C265" s="82" t="s">
        <v>114</v>
      </c>
      <c r="D265" s="83">
        <v>1</v>
      </c>
      <c r="E265" s="88">
        <v>650</v>
      </c>
      <c r="F265" s="257">
        <f t="shared" si="6"/>
        <v>650</v>
      </c>
      <c r="G265" s="139"/>
      <c r="H265" s="107"/>
    </row>
    <row r="266" spans="2:8" ht="31.5" x14ac:dyDescent="0.25">
      <c r="B266" s="65" t="s">
        <v>270</v>
      </c>
      <c r="C266" s="82" t="s">
        <v>114</v>
      </c>
      <c r="D266" s="83">
        <v>1</v>
      </c>
      <c r="E266" s="88">
        <v>1450</v>
      </c>
      <c r="F266" s="257">
        <f t="shared" si="6"/>
        <v>1450</v>
      </c>
      <c r="G266" s="139"/>
      <c r="H266" s="107"/>
    </row>
    <row r="267" spans="2:8" ht="31.5" x14ac:dyDescent="0.25">
      <c r="B267" s="65" t="s">
        <v>271</v>
      </c>
      <c r="C267" s="82" t="s">
        <v>114</v>
      </c>
      <c r="D267" s="83">
        <v>1</v>
      </c>
      <c r="E267" s="88">
        <v>1400</v>
      </c>
      <c r="F267" s="257">
        <f t="shared" si="6"/>
        <v>1400</v>
      </c>
      <c r="G267" s="139"/>
      <c r="H267" s="107"/>
    </row>
    <row r="268" spans="2:8" ht="15.75" x14ac:dyDescent="0.25">
      <c r="B268" s="125"/>
      <c r="C268" s="103"/>
      <c r="D268" s="158"/>
      <c r="E268" s="180"/>
      <c r="F268" s="159"/>
      <c r="G268" s="105"/>
    </row>
    <row r="269" spans="2:8" ht="15.95" customHeight="1" x14ac:dyDescent="0.25">
      <c r="B269" s="327" t="s">
        <v>158</v>
      </c>
      <c r="C269" s="327"/>
      <c r="D269" s="115"/>
      <c r="E269" s="115"/>
      <c r="F269" s="277">
        <f>SUM(F231:F268)</f>
        <v>47626.66</v>
      </c>
      <c r="G269" s="181"/>
    </row>
    <row r="270" spans="2:8" x14ac:dyDescent="0.25">
      <c r="G270" s="15"/>
    </row>
    <row r="271" spans="2:8" ht="15.95" customHeight="1" x14ac:dyDescent="0.25">
      <c r="B271" s="326" t="s">
        <v>112</v>
      </c>
      <c r="C271" s="326"/>
      <c r="D271" s="55"/>
      <c r="E271" s="136"/>
      <c r="F271" s="145"/>
      <c r="G271" s="137"/>
    </row>
    <row r="272" spans="2:8" ht="63" x14ac:dyDescent="0.25">
      <c r="B272" s="65" t="s">
        <v>272</v>
      </c>
      <c r="C272" s="82"/>
      <c r="D272" s="83"/>
      <c r="E272" s="138"/>
      <c r="F272" s="257"/>
      <c r="G272" s="85"/>
    </row>
    <row r="273" spans="2:8" ht="15.75" x14ac:dyDescent="0.25">
      <c r="B273" s="64" t="s">
        <v>273</v>
      </c>
      <c r="C273" s="82" t="s">
        <v>274</v>
      </c>
      <c r="D273" s="83">
        <v>2</v>
      </c>
      <c r="E273" s="138">
        <v>4594.66</v>
      </c>
      <c r="F273" s="257">
        <f>E273*D273</f>
        <v>9189.32</v>
      </c>
      <c r="G273" s="139"/>
      <c r="H273" s="140"/>
    </row>
    <row r="274" spans="2:8" ht="15.75" x14ac:dyDescent="0.25">
      <c r="B274" s="64" t="s">
        <v>275</v>
      </c>
      <c r="C274" s="82" t="s">
        <v>274</v>
      </c>
      <c r="D274" s="83">
        <v>2</v>
      </c>
      <c r="E274" s="138">
        <v>1307.9000000000001</v>
      </c>
      <c r="F274" s="257">
        <f>E274*D274</f>
        <v>2615.8000000000002</v>
      </c>
      <c r="G274" s="139"/>
      <c r="H274" s="140"/>
    </row>
    <row r="275" spans="2:8" ht="15.75" x14ac:dyDescent="0.25">
      <c r="B275" s="64" t="s">
        <v>276</v>
      </c>
      <c r="C275" s="82" t="s">
        <v>274</v>
      </c>
      <c r="D275" s="83">
        <v>2</v>
      </c>
      <c r="E275" s="138">
        <v>995.25</v>
      </c>
      <c r="F275" s="257">
        <f>E275*D275</f>
        <v>1990.5</v>
      </c>
      <c r="G275" s="139"/>
      <c r="H275" s="140"/>
    </row>
    <row r="276" spans="2:8" ht="15.75" x14ac:dyDescent="0.25">
      <c r="B276" s="64" t="s">
        <v>277</v>
      </c>
      <c r="C276" s="82" t="s">
        <v>274</v>
      </c>
      <c r="D276" s="83">
        <v>2</v>
      </c>
      <c r="E276" s="138">
        <v>2714.28</v>
      </c>
      <c r="F276" s="257">
        <f>E276*D276</f>
        <v>5428.56</v>
      </c>
      <c r="G276" s="139"/>
      <c r="H276" s="140"/>
    </row>
    <row r="277" spans="2:8" ht="15.75" x14ac:dyDescent="0.25">
      <c r="B277" s="65" t="s">
        <v>278</v>
      </c>
      <c r="C277" s="82" t="s">
        <v>274</v>
      </c>
      <c r="D277" s="83">
        <v>2</v>
      </c>
      <c r="E277" s="138">
        <v>7241.55</v>
      </c>
      <c r="F277" s="257">
        <f>E277*D277+0.34-1</f>
        <v>14482.44</v>
      </c>
      <c r="G277" s="139"/>
      <c r="H277" s="140"/>
    </row>
    <row r="278" spans="2:8" ht="15.75" x14ac:dyDescent="0.25">
      <c r="B278" s="65" t="s">
        <v>279</v>
      </c>
      <c r="C278" s="82" t="s">
        <v>274</v>
      </c>
      <c r="D278" s="83">
        <v>2</v>
      </c>
      <c r="E278" s="138">
        <v>4926.84</v>
      </c>
      <c r="F278" s="257">
        <f>E278*D278</f>
        <v>9853.68</v>
      </c>
      <c r="G278" s="139"/>
      <c r="H278" s="140"/>
    </row>
    <row r="279" spans="2:8" ht="15.75" x14ac:dyDescent="0.25">
      <c r="B279" s="163" t="s">
        <v>104</v>
      </c>
      <c r="C279" s="82"/>
      <c r="D279" s="83"/>
      <c r="E279" s="138"/>
      <c r="F279" s="262">
        <f>F273+F274+F275+F276+F277+F278</f>
        <v>43560.3</v>
      </c>
      <c r="G279" s="144"/>
    </row>
    <row r="280" spans="2:8" x14ac:dyDescent="0.25">
      <c r="G280" s="15"/>
    </row>
    <row r="281" spans="2:8" ht="31.5" x14ac:dyDescent="0.25">
      <c r="B281" s="55" t="s">
        <v>107</v>
      </c>
      <c r="C281" s="55" t="s">
        <v>170</v>
      </c>
      <c r="D281" s="55" t="s">
        <v>127</v>
      </c>
      <c r="E281" s="55" t="s">
        <v>128</v>
      </c>
      <c r="F281" s="247" t="s">
        <v>229</v>
      </c>
      <c r="G281" s="135"/>
    </row>
    <row r="282" spans="2:8" ht="15.75" x14ac:dyDescent="0.25">
      <c r="B282" s="82">
        <v>1</v>
      </c>
      <c r="C282" s="55">
        <v>2</v>
      </c>
      <c r="D282" s="55">
        <v>3</v>
      </c>
      <c r="E282" s="136">
        <v>4</v>
      </c>
      <c r="F282" s="145">
        <v>5</v>
      </c>
      <c r="G282" s="178"/>
    </row>
    <row r="283" spans="2:8" ht="15.95" customHeight="1" x14ac:dyDescent="0.25">
      <c r="B283" s="326" t="s">
        <v>112</v>
      </c>
      <c r="C283" s="326"/>
      <c r="D283" s="55"/>
      <c r="E283" s="136"/>
      <c r="F283" s="145"/>
      <c r="G283" s="178"/>
    </row>
    <row r="284" spans="2:8" ht="15.75" x14ac:dyDescent="0.25">
      <c r="B284" s="64" t="s">
        <v>221</v>
      </c>
      <c r="C284" s="82" t="s">
        <v>222</v>
      </c>
      <c r="D284" s="83">
        <v>9.1999999999999993</v>
      </c>
      <c r="E284" s="138"/>
      <c r="F284" s="278"/>
      <c r="G284" s="139"/>
    </row>
    <row r="285" spans="2:8" ht="15.75" x14ac:dyDescent="0.25">
      <c r="B285" s="64" t="s">
        <v>223</v>
      </c>
      <c r="C285" s="82" t="s">
        <v>222</v>
      </c>
      <c r="D285" s="83">
        <v>9</v>
      </c>
      <c r="E285" s="138"/>
      <c r="F285" s="278"/>
      <c r="G285" s="139"/>
    </row>
    <row r="286" spans="2:8" ht="15.75" x14ac:dyDescent="0.25">
      <c r="B286" s="64" t="s">
        <v>224</v>
      </c>
      <c r="C286" s="82"/>
      <c r="D286" s="83">
        <v>2001</v>
      </c>
      <c r="E286" s="138"/>
      <c r="F286" s="224"/>
      <c r="G286" s="139"/>
      <c r="H286" s="140"/>
    </row>
    <row r="287" spans="2:8" ht="15.75" x14ac:dyDescent="0.25">
      <c r="B287" s="64" t="s">
        <v>224</v>
      </c>
      <c r="C287" s="82"/>
      <c r="D287" s="83"/>
      <c r="E287" s="138"/>
      <c r="F287" s="224">
        <f>D287*E287</f>
        <v>0</v>
      </c>
      <c r="G287" s="139"/>
      <c r="H287" s="140"/>
    </row>
    <row r="288" spans="2:8" x14ac:dyDescent="0.25">
      <c r="B288" s="329" t="s">
        <v>104</v>
      </c>
      <c r="C288" s="329"/>
      <c r="D288" s="57"/>
      <c r="E288" s="57"/>
      <c r="F288" s="274">
        <f>SUM(F286:F287)</f>
        <v>0</v>
      </c>
      <c r="G288" s="69"/>
    </row>
    <row r="289" spans="2:8" ht="15.95" customHeight="1" x14ac:dyDescent="0.25">
      <c r="B289" s="326" t="s">
        <v>124</v>
      </c>
      <c r="C289" s="326"/>
      <c r="D289" s="103"/>
      <c r="E289" s="103"/>
      <c r="F289" s="276"/>
      <c r="G289" s="105"/>
    </row>
    <row r="290" spans="2:8" ht="15.75" x14ac:dyDescent="0.25">
      <c r="B290" s="108" t="s">
        <v>225</v>
      </c>
      <c r="C290" s="82" t="s">
        <v>163</v>
      </c>
      <c r="D290" s="83">
        <v>1</v>
      </c>
      <c r="E290" s="88"/>
      <c r="F290" s="279"/>
      <c r="G290" s="139"/>
      <c r="H290" s="107"/>
    </row>
    <row r="291" spans="2:8" ht="15.75" x14ac:dyDescent="0.25">
      <c r="B291" s="109" t="s">
        <v>226</v>
      </c>
      <c r="C291" s="103" t="s">
        <v>163</v>
      </c>
      <c r="D291" s="158">
        <v>1</v>
      </c>
      <c r="E291" s="111"/>
      <c r="F291" s="267"/>
      <c r="G291" s="194"/>
      <c r="H291" s="113"/>
    </row>
    <row r="292" spans="2:8" ht="15.95" customHeight="1" x14ac:dyDescent="0.25">
      <c r="B292" s="327" t="s">
        <v>158</v>
      </c>
      <c r="C292" s="327"/>
      <c r="D292" s="115"/>
      <c r="E292" s="115"/>
      <c r="F292" s="277">
        <f>SUM(F290:F291)</f>
        <v>0</v>
      </c>
      <c r="G292" s="181"/>
    </row>
    <row r="293" spans="2:8" ht="15.95" customHeight="1" x14ac:dyDescent="0.25">
      <c r="B293" s="327" t="s">
        <v>99</v>
      </c>
      <c r="C293" s="327"/>
      <c r="D293" s="115"/>
      <c r="E293" s="115"/>
      <c r="F293" s="277">
        <f>SUM(F288+F292)</f>
        <v>0</v>
      </c>
      <c r="G293" s="181"/>
    </row>
    <row r="294" spans="2:8" x14ac:dyDescent="0.25">
      <c r="G294" s="15"/>
    </row>
    <row r="295" spans="2:8" ht="15" customHeight="1" x14ac:dyDescent="0.25">
      <c r="B295" s="326" t="s">
        <v>112</v>
      </c>
      <c r="C295" s="326"/>
      <c r="D295" s="71"/>
      <c r="E295" s="70"/>
      <c r="F295" s="280"/>
      <c r="G295" s="72"/>
    </row>
    <row r="296" spans="2:8" ht="15.75" x14ac:dyDescent="0.25">
      <c r="B296" s="73" t="s">
        <v>280</v>
      </c>
      <c r="C296" s="74" t="s">
        <v>114</v>
      </c>
      <c r="D296" s="182">
        <f>60+144+12+60</f>
        <v>276</v>
      </c>
      <c r="E296" s="76">
        <v>15.34</v>
      </c>
      <c r="F296" s="160">
        <f t="shared" ref="F296:F331" si="7">D296*E296</f>
        <v>4233.84</v>
      </c>
      <c r="G296" s="77"/>
    </row>
    <row r="297" spans="2:8" ht="15.75" x14ac:dyDescent="0.25">
      <c r="B297" s="73" t="s">
        <v>281</v>
      </c>
      <c r="C297" s="74" t="s">
        <v>282</v>
      </c>
      <c r="D297" s="183">
        <f>1+1</f>
        <v>2</v>
      </c>
      <c r="E297" s="76">
        <v>14.85</v>
      </c>
      <c r="F297" s="160">
        <f t="shared" si="7"/>
        <v>29.7</v>
      </c>
      <c r="G297" s="77"/>
    </row>
    <row r="298" spans="2:8" ht="15.75" x14ac:dyDescent="0.25">
      <c r="B298" s="73" t="s">
        <v>131</v>
      </c>
      <c r="C298" s="74" t="s">
        <v>114</v>
      </c>
      <c r="D298" s="183">
        <f>15+10+30+5+25</f>
        <v>85</v>
      </c>
      <c r="E298" s="76">
        <v>6.59</v>
      </c>
      <c r="F298" s="160">
        <f t="shared" si="7"/>
        <v>560.15</v>
      </c>
      <c r="G298" s="77"/>
    </row>
    <row r="299" spans="2:8" ht="15.75" x14ac:dyDescent="0.25">
      <c r="B299" s="73" t="s">
        <v>132</v>
      </c>
      <c r="C299" s="74" t="s">
        <v>114</v>
      </c>
      <c r="D299" s="183">
        <f>25</f>
        <v>25</v>
      </c>
      <c r="E299" s="76">
        <v>4.0999999999999996</v>
      </c>
      <c r="F299" s="160">
        <f t="shared" si="7"/>
        <v>102.49999999999999</v>
      </c>
      <c r="G299" s="77"/>
    </row>
    <row r="300" spans="2:8" ht="15.75" x14ac:dyDescent="0.25">
      <c r="B300" s="73" t="s">
        <v>133</v>
      </c>
      <c r="C300" s="74" t="s">
        <v>114</v>
      </c>
      <c r="D300" s="183">
        <f>3+30+5+25</f>
        <v>63</v>
      </c>
      <c r="E300" s="76">
        <v>7.43</v>
      </c>
      <c r="F300" s="160">
        <f t="shared" si="7"/>
        <v>468.09</v>
      </c>
      <c r="G300" s="77"/>
    </row>
    <row r="301" spans="2:8" ht="15.75" x14ac:dyDescent="0.25">
      <c r="B301" s="73" t="s">
        <v>134</v>
      </c>
      <c r="C301" s="74" t="s">
        <v>114</v>
      </c>
      <c r="D301" s="183">
        <f>12+2+1+5+5</f>
        <v>25</v>
      </c>
      <c r="E301" s="76">
        <v>54.29</v>
      </c>
      <c r="F301" s="160">
        <f t="shared" si="7"/>
        <v>1357.25</v>
      </c>
      <c r="G301" s="77"/>
    </row>
    <row r="302" spans="2:8" ht="15.75" x14ac:dyDescent="0.25">
      <c r="B302" s="73" t="s">
        <v>135</v>
      </c>
      <c r="C302" s="74" t="s">
        <v>114</v>
      </c>
      <c r="D302" s="183">
        <f>3+5</f>
        <v>8</v>
      </c>
      <c r="E302" s="76">
        <v>8.08</v>
      </c>
      <c r="F302" s="160">
        <f t="shared" si="7"/>
        <v>64.64</v>
      </c>
      <c r="G302" s="77"/>
    </row>
    <row r="303" spans="2:8" ht="15.75" x14ac:dyDescent="0.25">
      <c r="B303" s="73" t="s">
        <v>136</v>
      </c>
      <c r="C303" s="74" t="s">
        <v>114</v>
      </c>
      <c r="D303" s="183">
        <f>5</f>
        <v>5</v>
      </c>
      <c r="E303" s="76">
        <v>17.98</v>
      </c>
      <c r="F303" s="160">
        <f t="shared" si="7"/>
        <v>89.9</v>
      </c>
      <c r="G303" s="77"/>
    </row>
    <row r="304" spans="2:8" ht="15.75" x14ac:dyDescent="0.25">
      <c r="B304" s="73" t="s">
        <v>137</v>
      </c>
      <c r="C304" s="74" t="s">
        <v>114</v>
      </c>
      <c r="D304" s="183">
        <f>3</f>
        <v>3</v>
      </c>
      <c r="E304" s="76">
        <v>44.71</v>
      </c>
      <c r="F304" s="160">
        <f t="shared" si="7"/>
        <v>134.13</v>
      </c>
      <c r="G304" s="77"/>
    </row>
    <row r="305" spans="2:8" ht="15.75" x14ac:dyDescent="0.25">
      <c r="B305" s="73" t="s">
        <v>138</v>
      </c>
      <c r="C305" s="74" t="s">
        <v>114</v>
      </c>
      <c r="D305" s="183">
        <f>4+8+25</f>
        <v>37</v>
      </c>
      <c r="E305" s="76">
        <v>12.98</v>
      </c>
      <c r="F305" s="160">
        <f t="shared" si="7"/>
        <v>480.26</v>
      </c>
      <c r="G305" s="77"/>
    </row>
    <row r="306" spans="2:8" ht="15.75" x14ac:dyDescent="0.25">
      <c r="B306" s="73" t="s">
        <v>139</v>
      </c>
      <c r="C306" s="74" t="s">
        <v>114</v>
      </c>
      <c r="D306" s="183">
        <f>11+25</f>
        <v>36</v>
      </c>
      <c r="E306" s="76">
        <v>4.97</v>
      </c>
      <c r="F306" s="160">
        <f t="shared" si="7"/>
        <v>178.92</v>
      </c>
      <c r="G306" s="77"/>
    </row>
    <row r="307" spans="2:8" ht="15.75" x14ac:dyDescent="0.25">
      <c r="B307" s="73" t="s">
        <v>140</v>
      </c>
      <c r="C307" s="74" t="s">
        <v>114</v>
      </c>
      <c r="D307" s="183"/>
      <c r="E307" s="76">
        <v>73.25</v>
      </c>
      <c r="F307" s="160">
        <f t="shared" si="7"/>
        <v>0</v>
      </c>
      <c r="G307" s="77"/>
    </row>
    <row r="308" spans="2:8" ht="15.75" x14ac:dyDescent="0.25">
      <c r="B308" s="73" t="s">
        <v>141</v>
      </c>
      <c r="C308" s="74" t="s">
        <v>114</v>
      </c>
      <c r="D308" s="183"/>
      <c r="E308" s="76">
        <v>35.450000000000003</v>
      </c>
      <c r="F308" s="160">
        <f t="shared" si="7"/>
        <v>0</v>
      </c>
      <c r="G308" s="77"/>
    </row>
    <row r="309" spans="2:8" ht="15.75" x14ac:dyDescent="0.25">
      <c r="B309" s="73" t="s">
        <v>142</v>
      </c>
      <c r="C309" s="74" t="s">
        <v>114</v>
      </c>
      <c r="D309" s="183"/>
      <c r="E309" s="76">
        <v>56</v>
      </c>
      <c r="F309" s="160">
        <f t="shared" si="7"/>
        <v>0</v>
      </c>
      <c r="G309" s="77"/>
    </row>
    <row r="310" spans="2:8" ht="15.75" x14ac:dyDescent="0.25">
      <c r="B310" s="73" t="s">
        <v>143</v>
      </c>
      <c r="C310" s="74" t="s">
        <v>114</v>
      </c>
      <c r="D310" s="183">
        <f>3+15+15+25</f>
        <v>58</v>
      </c>
      <c r="E310" s="76">
        <v>32.619999999999997</v>
      </c>
      <c r="F310" s="160">
        <f t="shared" si="7"/>
        <v>1891.9599999999998</v>
      </c>
      <c r="G310" s="77"/>
    </row>
    <row r="311" spans="2:8" ht="15.75" x14ac:dyDescent="0.25">
      <c r="B311" s="73" t="s">
        <v>144</v>
      </c>
      <c r="C311" s="74" t="s">
        <v>114</v>
      </c>
      <c r="D311" s="183">
        <f>5</f>
        <v>5</v>
      </c>
      <c r="E311" s="76">
        <v>48.07</v>
      </c>
      <c r="F311" s="160">
        <f t="shared" si="7"/>
        <v>240.35</v>
      </c>
      <c r="G311" s="77"/>
    </row>
    <row r="312" spans="2:8" ht="15.75" x14ac:dyDescent="0.25">
      <c r="B312" s="73" t="s">
        <v>145</v>
      </c>
      <c r="C312" s="74" t="s">
        <v>114</v>
      </c>
      <c r="D312" s="183">
        <f>5+25</f>
        <v>30</v>
      </c>
      <c r="E312" s="76">
        <v>9.42</v>
      </c>
      <c r="F312" s="160">
        <f t="shared" si="7"/>
        <v>282.60000000000002</v>
      </c>
      <c r="G312" s="77"/>
    </row>
    <row r="313" spans="2:8" ht="15.75" x14ac:dyDescent="0.25">
      <c r="B313" s="73" t="s">
        <v>146</v>
      </c>
      <c r="C313" s="74" t="s">
        <v>114</v>
      </c>
      <c r="D313" s="183">
        <f>1+12+10+5</f>
        <v>28</v>
      </c>
      <c r="E313" s="76">
        <v>248.69</v>
      </c>
      <c r="F313" s="160">
        <f t="shared" si="7"/>
        <v>6963.32</v>
      </c>
      <c r="G313" s="77"/>
    </row>
    <row r="314" spans="2:8" ht="15.75" x14ac:dyDescent="0.25">
      <c r="B314" s="73" t="s">
        <v>283</v>
      </c>
      <c r="C314" s="74" t="s">
        <v>114</v>
      </c>
      <c r="D314" s="183">
        <f>2</f>
        <v>2</v>
      </c>
      <c r="E314" s="76">
        <v>50.17</v>
      </c>
      <c r="F314" s="160">
        <f t="shared" si="7"/>
        <v>100.34</v>
      </c>
      <c r="G314" s="77"/>
    </row>
    <row r="315" spans="2:8" ht="15.75" x14ac:dyDescent="0.25">
      <c r="B315" s="73" t="s">
        <v>284</v>
      </c>
      <c r="C315" s="74" t="s">
        <v>114</v>
      </c>
      <c r="D315" s="183">
        <f>5</f>
        <v>5</v>
      </c>
      <c r="E315" s="76">
        <v>24.97</v>
      </c>
      <c r="F315" s="160">
        <f t="shared" si="7"/>
        <v>124.85</v>
      </c>
      <c r="G315" s="77"/>
    </row>
    <row r="316" spans="2:8" ht="15.75" x14ac:dyDescent="0.25">
      <c r="B316" s="73" t="s">
        <v>285</v>
      </c>
      <c r="C316" s="74" t="s">
        <v>114</v>
      </c>
      <c r="D316" s="183">
        <v>3</v>
      </c>
      <c r="E316" s="76">
        <v>205.97</v>
      </c>
      <c r="F316" s="160">
        <f t="shared" si="7"/>
        <v>617.91</v>
      </c>
      <c r="G316" s="77"/>
      <c r="H316" s="78"/>
    </row>
    <row r="317" spans="2:8" ht="15.75" x14ac:dyDescent="0.25">
      <c r="B317" s="73" t="s">
        <v>147</v>
      </c>
      <c r="C317" s="74" t="s">
        <v>114</v>
      </c>
      <c r="D317" s="183">
        <f>10+1+2+5</f>
        <v>18</v>
      </c>
      <c r="E317" s="76">
        <v>122.5</v>
      </c>
      <c r="F317" s="160">
        <f t="shared" si="7"/>
        <v>2205</v>
      </c>
      <c r="G317" s="77"/>
    </row>
    <row r="318" spans="2:8" ht="15.75" x14ac:dyDescent="0.25">
      <c r="B318" s="73" t="s">
        <v>148</v>
      </c>
      <c r="C318" s="74" t="s">
        <v>114</v>
      </c>
      <c r="D318" s="183">
        <f>1+5+2+5</f>
        <v>13</v>
      </c>
      <c r="E318" s="76">
        <v>24.86</v>
      </c>
      <c r="F318" s="160">
        <f t="shared" si="7"/>
        <v>323.18</v>
      </c>
      <c r="G318" s="77"/>
    </row>
    <row r="319" spans="2:8" ht="15.75" x14ac:dyDescent="0.25">
      <c r="B319" s="73" t="s">
        <v>149</v>
      </c>
      <c r="C319" s="74" t="s">
        <v>150</v>
      </c>
      <c r="D319" s="183">
        <f>2+1+5</f>
        <v>8</v>
      </c>
      <c r="E319" s="76">
        <v>64.69</v>
      </c>
      <c r="F319" s="160">
        <f t="shared" si="7"/>
        <v>517.52</v>
      </c>
      <c r="G319" s="77"/>
    </row>
    <row r="320" spans="2:8" ht="15.75" x14ac:dyDescent="0.25">
      <c r="B320" s="73" t="s">
        <v>149</v>
      </c>
      <c r="C320" s="74" t="s">
        <v>150</v>
      </c>
      <c r="D320" s="183">
        <f>1+5</f>
        <v>6</v>
      </c>
      <c r="E320" s="76">
        <v>80.599999999999994</v>
      </c>
      <c r="F320" s="160">
        <f t="shared" si="7"/>
        <v>483.59999999999997</v>
      </c>
      <c r="G320" s="77"/>
    </row>
    <row r="321" spans="2:8" ht="15.75" x14ac:dyDescent="0.25">
      <c r="B321" s="73" t="s">
        <v>149</v>
      </c>
      <c r="C321" s="74" t="s">
        <v>150</v>
      </c>
      <c r="D321" s="183">
        <f>1+2+1+5+5</f>
        <v>14</v>
      </c>
      <c r="E321" s="76">
        <v>162.02000000000001</v>
      </c>
      <c r="F321" s="160">
        <f t="shared" si="7"/>
        <v>2268.2800000000002</v>
      </c>
      <c r="G321" s="77"/>
    </row>
    <row r="322" spans="2:8" ht="15.75" x14ac:dyDescent="0.25">
      <c r="B322" s="73" t="s">
        <v>286</v>
      </c>
      <c r="C322" s="74" t="s">
        <v>114</v>
      </c>
      <c r="D322" s="183">
        <f>2+1+2</f>
        <v>5</v>
      </c>
      <c r="E322" s="76">
        <v>115.41</v>
      </c>
      <c r="F322" s="160">
        <f t="shared" si="7"/>
        <v>577.04999999999995</v>
      </c>
      <c r="G322" s="77"/>
    </row>
    <row r="323" spans="2:8" ht="15.75" x14ac:dyDescent="0.25">
      <c r="B323" s="73" t="s">
        <v>287</v>
      </c>
      <c r="C323" s="74" t="s">
        <v>114</v>
      </c>
      <c r="D323" s="183">
        <f>3</f>
        <v>3</v>
      </c>
      <c r="E323" s="76">
        <v>61.83</v>
      </c>
      <c r="F323" s="160">
        <f t="shared" si="7"/>
        <v>185.49</v>
      </c>
      <c r="G323" s="77"/>
    </row>
    <row r="324" spans="2:8" ht="15.75" x14ac:dyDescent="0.25">
      <c r="B324" s="73" t="s">
        <v>151</v>
      </c>
      <c r="C324" s="74" t="s">
        <v>114</v>
      </c>
      <c r="D324" s="183"/>
      <c r="E324" s="76">
        <v>101.81</v>
      </c>
      <c r="F324" s="160">
        <f t="shared" si="7"/>
        <v>0</v>
      </c>
      <c r="G324" s="77"/>
    </row>
    <row r="325" spans="2:8" ht="15.75" x14ac:dyDescent="0.25">
      <c r="B325" s="73" t="s">
        <v>288</v>
      </c>
      <c r="C325" s="74" t="s">
        <v>150</v>
      </c>
      <c r="D325" s="183">
        <f>5</f>
        <v>5</v>
      </c>
      <c r="E325" s="76">
        <v>16.170000000000002</v>
      </c>
      <c r="F325" s="160">
        <f t="shared" si="7"/>
        <v>80.850000000000009</v>
      </c>
      <c r="G325" s="77"/>
    </row>
    <row r="326" spans="2:8" ht="15.75" x14ac:dyDescent="0.25">
      <c r="B326" s="73" t="s">
        <v>152</v>
      </c>
      <c r="C326" s="74" t="s">
        <v>150</v>
      </c>
      <c r="D326" s="183"/>
      <c r="E326" s="76">
        <v>74.02</v>
      </c>
      <c r="F326" s="160">
        <f t="shared" si="7"/>
        <v>0</v>
      </c>
      <c r="G326" s="77"/>
    </row>
    <row r="327" spans="2:8" ht="15.75" x14ac:dyDescent="0.25">
      <c r="B327" s="73" t="s">
        <v>153</v>
      </c>
      <c r="C327" s="74" t="s">
        <v>150</v>
      </c>
      <c r="D327" s="183"/>
      <c r="E327" s="76">
        <v>21.35</v>
      </c>
      <c r="F327" s="160">
        <f t="shared" si="7"/>
        <v>0</v>
      </c>
      <c r="G327" s="77"/>
    </row>
    <row r="328" spans="2:8" ht="15.75" x14ac:dyDescent="0.25">
      <c r="B328" s="73" t="s">
        <v>154</v>
      </c>
      <c r="C328" s="74" t="s">
        <v>150</v>
      </c>
      <c r="D328" s="183"/>
      <c r="E328" s="76">
        <v>188.91</v>
      </c>
      <c r="F328" s="160">
        <f t="shared" si="7"/>
        <v>0</v>
      </c>
      <c r="G328" s="77"/>
    </row>
    <row r="329" spans="2:8" ht="15.75" x14ac:dyDescent="0.25">
      <c r="B329" s="184" t="s">
        <v>289</v>
      </c>
      <c r="C329" s="74" t="s">
        <v>150</v>
      </c>
      <c r="D329" s="183">
        <v>50</v>
      </c>
      <c r="E329" s="76">
        <v>182.48</v>
      </c>
      <c r="F329" s="160">
        <f t="shared" si="7"/>
        <v>9124</v>
      </c>
      <c r="G329" s="77"/>
      <c r="H329" s="78"/>
    </row>
    <row r="330" spans="2:8" ht="15.75" x14ac:dyDescent="0.25">
      <c r="B330" s="184" t="s">
        <v>290</v>
      </c>
      <c r="C330" s="74" t="s">
        <v>150</v>
      </c>
      <c r="D330" s="183">
        <f>50</f>
        <v>50</v>
      </c>
      <c r="E330" s="76">
        <v>228.84</v>
      </c>
      <c r="F330" s="160">
        <f t="shared" si="7"/>
        <v>11442</v>
      </c>
      <c r="G330" s="77"/>
    </row>
    <row r="331" spans="2:8" ht="15.75" x14ac:dyDescent="0.25">
      <c r="B331" s="73" t="s">
        <v>155</v>
      </c>
      <c r="C331" s="74" t="s">
        <v>114</v>
      </c>
      <c r="D331" s="183">
        <f>36+24+24+53+19</f>
        <v>156</v>
      </c>
      <c r="E331" s="76">
        <v>322.49</v>
      </c>
      <c r="F331" s="160">
        <f t="shared" si="7"/>
        <v>50308.44</v>
      </c>
      <c r="G331" s="77"/>
    </row>
    <row r="332" spans="2:8" ht="18.75" x14ac:dyDescent="0.3">
      <c r="B332" s="185"/>
      <c r="C332" s="46" t="s">
        <v>156</v>
      </c>
      <c r="D332" s="79"/>
      <c r="E332" s="79"/>
      <c r="F332" s="281">
        <f>SUM(F296:F331)</f>
        <v>95436.12</v>
      </c>
      <c r="G332" s="81"/>
    </row>
    <row r="333" spans="2:8" ht="15" customHeight="1" x14ac:dyDescent="0.25">
      <c r="B333" s="325" t="s">
        <v>124</v>
      </c>
      <c r="C333" s="325"/>
      <c r="D333" s="186"/>
      <c r="E333" s="186"/>
      <c r="F333" s="186"/>
      <c r="G333" s="285"/>
    </row>
    <row r="334" spans="2:8" ht="15.75" x14ac:dyDescent="0.25">
      <c r="B334" s="64"/>
      <c r="C334" s="82">
        <v>1</v>
      </c>
      <c r="D334" s="83">
        <v>2</v>
      </c>
      <c r="E334" s="187">
        <v>3</v>
      </c>
      <c r="F334" s="282">
        <v>4</v>
      </c>
      <c r="G334" s="85"/>
    </row>
    <row r="335" spans="2:8" ht="31.5" x14ac:dyDescent="0.25">
      <c r="B335" s="64" t="s">
        <v>291</v>
      </c>
      <c r="C335" s="82" t="s">
        <v>114</v>
      </c>
      <c r="D335" s="92">
        <v>5</v>
      </c>
      <c r="E335" s="93">
        <f>F335/D335</f>
        <v>238.07</v>
      </c>
      <c r="F335" s="279">
        <v>1190.3499999999999</v>
      </c>
      <c r="G335" s="85"/>
    </row>
    <row r="336" spans="2:8" ht="31.5" x14ac:dyDescent="0.25">
      <c r="B336" s="64" t="s">
        <v>292</v>
      </c>
      <c r="C336" s="82" t="s">
        <v>114</v>
      </c>
      <c r="D336" s="92">
        <v>1</v>
      </c>
      <c r="E336" s="93">
        <v>744.8</v>
      </c>
      <c r="F336" s="279">
        <f t="shared" ref="F336:F357" si="8">D336*E336</f>
        <v>744.8</v>
      </c>
      <c r="G336" s="85"/>
    </row>
    <row r="337" spans="2:9" ht="31.5" x14ac:dyDescent="0.25">
      <c r="B337" s="64" t="s">
        <v>293</v>
      </c>
      <c r="C337" s="82" t="s">
        <v>114</v>
      </c>
      <c r="D337" s="92">
        <v>8</v>
      </c>
      <c r="E337" s="93">
        <v>67</v>
      </c>
      <c r="F337" s="279">
        <f t="shared" si="8"/>
        <v>536</v>
      </c>
      <c r="G337" s="85"/>
    </row>
    <row r="338" spans="2:9" ht="15.75" x14ac:dyDescent="0.25">
      <c r="B338" s="64" t="s">
        <v>294</v>
      </c>
      <c r="C338" s="82" t="s">
        <v>114</v>
      </c>
      <c r="D338" s="92">
        <v>10</v>
      </c>
      <c r="E338" s="93">
        <v>176.4</v>
      </c>
      <c r="F338" s="279">
        <f t="shared" si="8"/>
        <v>1764</v>
      </c>
      <c r="G338" s="94"/>
      <c r="H338" s="95"/>
      <c r="I338" s="114"/>
    </row>
    <row r="339" spans="2:9" ht="15.75" x14ac:dyDescent="0.25">
      <c r="B339" s="96" t="s">
        <v>295</v>
      </c>
      <c r="C339" s="82" t="s">
        <v>114</v>
      </c>
      <c r="D339" s="92">
        <v>3</v>
      </c>
      <c r="E339" s="93">
        <v>72.52</v>
      </c>
      <c r="F339" s="279">
        <f t="shared" si="8"/>
        <v>217.56</v>
      </c>
      <c r="G339" s="94"/>
      <c r="H339" s="95"/>
      <c r="I339" s="114"/>
    </row>
    <row r="340" spans="2:9" ht="31.5" x14ac:dyDescent="0.25">
      <c r="B340" s="96" t="s">
        <v>296</v>
      </c>
      <c r="C340" s="82" t="s">
        <v>114</v>
      </c>
      <c r="D340" s="92">
        <v>3</v>
      </c>
      <c r="E340" s="93">
        <v>430.21</v>
      </c>
      <c r="F340" s="279">
        <f t="shared" si="8"/>
        <v>1290.6299999999999</v>
      </c>
      <c r="G340" s="85"/>
    </row>
    <row r="341" spans="2:9" ht="31.5" x14ac:dyDescent="0.25">
      <c r="B341" s="96" t="s">
        <v>297</v>
      </c>
      <c r="C341" s="82" t="s">
        <v>114</v>
      </c>
      <c r="D341" s="92">
        <v>5</v>
      </c>
      <c r="E341" s="93">
        <v>165.71</v>
      </c>
      <c r="F341" s="279">
        <f t="shared" si="8"/>
        <v>828.55000000000007</v>
      </c>
      <c r="G341" s="94"/>
      <c r="H341" s="95"/>
      <c r="I341" s="114"/>
    </row>
    <row r="342" spans="2:9" ht="31.5" x14ac:dyDescent="0.25">
      <c r="B342" s="96" t="s">
        <v>298</v>
      </c>
      <c r="C342" s="82" t="s">
        <v>114</v>
      </c>
      <c r="D342" s="92">
        <v>3</v>
      </c>
      <c r="E342" s="93">
        <v>233.95</v>
      </c>
      <c r="F342" s="279">
        <f t="shared" si="8"/>
        <v>701.84999999999991</v>
      </c>
      <c r="G342" s="94"/>
      <c r="H342" s="95"/>
      <c r="I342" s="114"/>
    </row>
    <row r="343" spans="2:9" ht="31.5" x14ac:dyDescent="0.25">
      <c r="B343" s="96" t="s">
        <v>299</v>
      </c>
      <c r="C343" s="82" t="s">
        <v>114</v>
      </c>
      <c r="D343" s="92">
        <v>3</v>
      </c>
      <c r="E343" s="93">
        <v>672.08</v>
      </c>
      <c r="F343" s="279">
        <f t="shared" si="8"/>
        <v>2016.2400000000002</v>
      </c>
      <c r="G343" s="94"/>
      <c r="H343" s="95"/>
      <c r="I343" s="114"/>
    </row>
    <row r="344" spans="2:9" ht="25.5" x14ac:dyDescent="0.25">
      <c r="B344" s="170" t="s">
        <v>296</v>
      </c>
      <c r="C344" s="82" t="s">
        <v>114</v>
      </c>
      <c r="D344" s="97">
        <v>2</v>
      </c>
      <c r="E344" s="98">
        <v>457.01</v>
      </c>
      <c r="F344" s="279">
        <f t="shared" si="8"/>
        <v>914.02</v>
      </c>
      <c r="G344" s="99"/>
      <c r="H344" s="100"/>
      <c r="I344" s="114"/>
    </row>
    <row r="345" spans="2:9" ht="15.75" x14ac:dyDescent="0.25">
      <c r="B345" s="170" t="s">
        <v>300</v>
      </c>
      <c r="C345" s="82" t="s">
        <v>114</v>
      </c>
      <c r="D345" s="97">
        <v>20</v>
      </c>
      <c r="E345" s="98">
        <v>107.94</v>
      </c>
      <c r="F345" s="279">
        <f t="shared" si="8"/>
        <v>2158.8000000000002</v>
      </c>
      <c r="G345" s="99"/>
      <c r="H345" s="100"/>
      <c r="I345" s="114"/>
    </row>
    <row r="346" spans="2:9" ht="15.75" x14ac:dyDescent="0.25">
      <c r="B346" s="170" t="s">
        <v>301</v>
      </c>
      <c r="C346" s="82" t="s">
        <v>114</v>
      </c>
      <c r="D346" s="97">
        <v>10</v>
      </c>
      <c r="E346" s="98">
        <v>33.58</v>
      </c>
      <c r="F346" s="279">
        <f t="shared" si="8"/>
        <v>335.79999999999995</v>
      </c>
      <c r="G346" s="99"/>
      <c r="H346" s="100"/>
      <c r="I346" s="114"/>
    </row>
    <row r="347" spans="2:9" ht="25.5" x14ac:dyDescent="0.25">
      <c r="B347" s="170" t="s">
        <v>302</v>
      </c>
      <c r="C347" s="82" t="s">
        <v>114</v>
      </c>
      <c r="D347" s="97">
        <v>3</v>
      </c>
      <c r="E347" s="98">
        <v>181.3</v>
      </c>
      <c r="F347" s="279">
        <f t="shared" si="8"/>
        <v>543.90000000000009</v>
      </c>
      <c r="G347" s="99"/>
      <c r="H347" s="100"/>
      <c r="I347" s="114"/>
    </row>
    <row r="348" spans="2:9" ht="15.75" x14ac:dyDescent="0.25">
      <c r="B348" s="170" t="s">
        <v>303</v>
      </c>
      <c r="C348" s="82" t="s">
        <v>114</v>
      </c>
      <c r="D348" s="97">
        <v>4</v>
      </c>
      <c r="E348" s="98">
        <v>80.66</v>
      </c>
      <c r="F348" s="279">
        <f t="shared" si="8"/>
        <v>322.64</v>
      </c>
      <c r="G348" s="99"/>
      <c r="H348" s="100"/>
      <c r="I348" s="114"/>
    </row>
    <row r="349" spans="2:9" ht="25.5" x14ac:dyDescent="0.25">
      <c r="B349" s="170" t="s">
        <v>304</v>
      </c>
      <c r="C349" s="82" t="s">
        <v>114</v>
      </c>
      <c r="D349" s="97">
        <v>3</v>
      </c>
      <c r="E349" s="98">
        <v>173.43</v>
      </c>
      <c r="F349" s="279">
        <f t="shared" si="8"/>
        <v>520.29</v>
      </c>
      <c r="G349" s="99"/>
      <c r="H349" s="100"/>
      <c r="I349" s="114"/>
    </row>
    <row r="350" spans="2:9" ht="15.75" x14ac:dyDescent="0.25">
      <c r="B350" s="170" t="s">
        <v>305</v>
      </c>
      <c r="C350" s="82" t="s">
        <v>114</v>
      </c>
      <c r="D350" s="97">
        <v>1</v>
      </c>
      <c r="E350" s="98">
        <v>270.56</v>
      </c>
      <c r="F350" s="279">
        <f t="shared" si="8"/>
        <v>270.56</v>
      </c>
      <c r="G350" s="99"/>
      <c r="H350" s="100"/>
      <c r="I350" s="114"/>
    </row>
    <row r="351" spans="2:9" ht="15.75" x14ac:dyDescent="0.25">
      <c r="B351" s="170" t="s">
        <v>306</v>
      </c>
      <c r="C351" s="82" t="s">
        <v>114</v>
      </c>
      <c r="D351" s="97">
        <v>1</v>
      </c>
      <c r="E351" s="98">
        <v>293.02</v>
      </c>
      <c r="F351" s="279">
        <f t="shared" si="8"/>
        <v>293.02</v>
      </c>
      <c r="G351" s="99"/>
      <c r="H351" s="100"/>
      <c r="I351" s="114"/>
    </row>
    <row r="352" spans="2:9" ht="25.5" x14ac:dyDescent="0.25">
      <c r="B352" s="170" t="s">
        <v>307</v>
      </c>
      <c r="C352" s="82" t="s">
        <v>114</v>
      </c>
      <c r="D352" s="97">
        <v>3</v>
      </c>
      <c r="E352" s="98">
        <v>103.72</v>
      </c>
      <c r="F352" s="279">
        <f t="shared" si="8"/>
        <v>311.15999999999997</v>
      </c>
      <c r="G352" s="99"/>
      <c r="H352" s="100"/>
      <c r="I352" s="114"/>
    </row>
    <row r="353" spans="2:9" ht="15.75" x14ac:dyDescent="0.25">
      <c r="B353" s="170" t="s">
        <v>308</v>
      </c>
      <c r="C353" s="82" t="s">
        <v>114</v>
      </c>
      <c r="D353" s="97">
        <v>1</v>
      </c>
      <c r="E353" s="98">
        <v>245.35</v>
      </c>
      <c r="F353" s="279">
        <f t="shared" si="8"/>
        <v>245.35</v>
      </c>
      <c r="G353" s="99"/>
      <c r="H353" s="100"/>
      <c r="I353" s="114"/>
    </row>
    <row r="354" spans="2:9" ht="15.75" x14ac:dyDescent="0.25">
      <c r="B354" s="170" t="s">
        <v>309</v>
      </c>
      <c r="C354" s="82" t="s">
        <v>114</v>
      </c>
      <c r="D354" s="97">
        <v>2</v>
      </c>
      <c r="E354" s="98">
        <v>76.430000000000007</v>
      </c>
      <c r="F354" s="279">
        <f t="shared" si="8"/>
        <v>152.86000000000001</v>
      </c>
      <c r="G354" s="99"/>
      <c r="H354" s="100"/>
      <c r="I354" s="114"/>
    </row>
    <row r="355" spans="2:9" ht="15.75" x14ac:dyDescent="0.25">
      <c r="B355" s="170" t="s">
        <v>310</v>
      </c>
      <c r="C355" s="82" t="s">
        <v>114</v>
      </c>
      <c r="D355" s="97">
        <v>10</v>
      </c>
      <c r="E355" s="98">
        <v>72.52</v>
      </c>
      <c r="F355" s="279">
        <f t="shared" si="8"/>
        <v>725.19999999999993</v>
      </c>
      <c r="G355" s="99"/>
      <c r="H355" s="100"/>
    </row>
    <row r="356" spans="2:9" ht="25.5" x14ac:dyDescent="0.25">
      <c r="B356" s="170" t="s">
        <v>296</v>
      </c>
      <c r="C356" s="82" t="s">
        <v>114</v>
      </c>
      <c r="D356" s="97">
        <v>3</v>
      </c>
      <c r="E356" s="98">
        <v>442.01</v>
      </c>
      <c r="F356" s="279">
        <f t="shared" si="8"/>
        <v>1326.03</v>
      </c>
      <c r="G356" s="99"/>
      <c r="H356" s="100"/>
    </row>
    <row r="357" spans="2:9" ht="15.75" x14ac:dyDescent="0.25">
      <c r="B357" s="170" t="s">
        <v>311</v>
      </c>
      <c r="C357" s="82" t="s">
        <v>114</v>
      </c>
      <c r="D357" s="97">
        <v>5</v>
      </c>
      <c r="E357" s="98">
        <v>274.43</v>
      </c>
      <c r="F357" s="279">
        <f t="shared" si="8"/>
        <v>1372.15</v>
      </c>
      <c r="G357" s="99"/>
      <c r="H357" s="100"/>
    </row>
    <row r="358" spans="2:9" ht="15.75" x14ac:dyDescent="0.25">
      <c r="B358" s="170" t="s">
        <v>312</v>
      </c>
      <c r="C358" s="82" t="s">
        <v>114</v>
      </c>
      <c r="D358" s="97">
        <v>100</v>
      </c>
      <c r="E358" s="98">
        <v>6.65</v>
      </c>
      <c r="F358" s="279">
        <f>D358*E358+0.28</f>
        <v>665.28</v>
      </c>
      <c r="G358" s="99"/>
      <c r="H358" s="100"/>
    </row>
    <row r="359" spans="2:9" ht="15.75" x14ac:dyDescent="0.25">
      <c r="B359" s="170" t="s">
        <v>313</v>
      </c>
      <c r="C359" s="82" t="s">
        <v>114</v>
      </c>
      <c r="D359" s="97">
        <v>10</v>
      </c>
      <c r="E359" s="98">
        <v>119.93</v>
      </c>
      <c r="F359" s="279">
        <f t="shared" ref="F359:F364" si="9">D359*E359</f>
        <v>1199.3000000000002</v>
      </c>
      <c r="G359" s="99"/>
      <c r="H359" s="100"/>
    </row>
    <row r="360" spans="2:9" ht="15.75" x14ac:dyDescent="0.25">
      <c r="B360" s="170" t="s">
        <v>314</v>
      </c>
      <c r="C360" s="82" t="s">
        <v>114</v>
      </c>
      <c r="D360" s="97">
        <v>3</v>
      </c>
      <c r="E360" s="98">
        <v>263.02999999999997</v>
      </c>
      <c r="F360" s="279">
        <f t="shared" si="9"/>
        <v>789.08999999999992</v>
      </c>
      <c r="G360" s="99"/>
      <c r="H360" s="100"/>
    </row>
    <row r="361" spans="2:9" ht="15.75" x14ac:dyDescent="0.25">
      <c r="B361" s="170" t="s">
        <v>315</v>
      </c>
      <c r="C361" s="82" t="s">
        <v>114</v>
      </c>
      <c r="D361" s="97">
        <v>4</v>
      </c>
      <c r="E361" s="98">
        <v>208.66</v>
      </c>
      <c r="F361" s="279">
        <f t="shared" si="9"/>
        <v>834.64</v>
      </c>
      <c r="G361" s="99"/>
      <c r="H361" s="100"/>
    </row>
    <row r="362" spans="2:9" ht="15.75" x14ac:dyDescent="0.25">
      <c r="B362" s="170" t="s">
        <v>316</v>
      </c>
      <c r="C362" s="82" t="s">
        <v>114</v>
      </c>
      <c r="D362" s="97">
        <v>15</v>
      </c>
      <c r="E362" s="98">
        <v>33.58</v>
      </c>
      <c r="F362" s="279">
        <f t="shared" si="9"/>
        <v>503.7</v>
      </c>
      <c r="G362" s="99"/>
      <c r="H362" s="100"/>
    </row>
    <row r="363" spans="2:9" ht="15.75" x14ac:dyDescent="0.25">
      <c r="B363" s="170" t="s">
        <v>317</v>
      </c>
      <c r="C363" s="82" t="s">
        <v>114</v>
      </c>
      <c r="D363" s="97">
        <v>2</v>
      </c>
      <c r="E363" s="98">
        <v>148.85</v>
      </c>
      <c r="F363" s="279">
        <f t="shared" si="9"/>
        <v>297.7</v>
      </c>
      <c r="G363" s="99"/>
      <c r="H363" s="100"/>
    </row>
    <row r="364" spans="2:9" ht="15.75" x14ac:dyDescent="0.25">
      <c r="B364" s="170" t="s">
        <v>318</v>
      </c>
      <c r="C364" s="82" t="s">
        <v>114</v>
      </c>
      <c r="D364" s="97">
        <v>15</v>
      </c>
      <c r="E364" s="98">
        <v>288.8</v>
      </c>
      <c r="F364" s="279">
        <f t="shared" si="9"/>
        <v>4332</v>
      </c>
      <c r="G364" s="99"/>
      <c r="H364" s="100"/>
    </row>
    <row r="365" spans="2:9" ht="15.75" x14ac:dyDescent="0.25">
      <c r="B365" s="170" t="s">
        <v>220</v>
      </c>
      <c r="C365" s="82" t="s">
        <v>114</v>
      </c>
      <c r="D365" s="97"/>
      <c r="E365" s="98"/>
      <c r="F365" s="279"/>
      <c r="G365" s="99"/>
      <c r="H365" s="100"/>
    </row>
    <row r="366" spans="2:9" ht="15.75" x14ac:dyDescent="0.25">
      <c r="B366" s="170" t="s">
        <v>319</v>
      </c>
      <c r="C366" s="82" t="s">
        <v>114</v>
      </c>
      <c r="D366" s="97">
        <v>12</v>
      </c>
      <c r="E366" s="98">
        <v>590.01</v>
      </c>
      <c r="F366" s="279">
        <f t="shared" ref="F366:F390" si="10">D366*E366</f>
        <v>7080.12</v>
      </c>
      <c r="G366" s="99"/>
      <c r="H366" s="100"/>
    </row>
    <row r="367" spans="2:9" ht="25.5" x14ac:dyDescent="0.25">
      <c r="B367" s="170" t="s">
        <v>320</v>
      </c>
      <c r="C367" s="82" t="s">
        <v>114</v>
      </c>
      <c r="D367" s="97">
        <v>1</v>
      </c>
      <c r="E367" s="98">
        <v>282.31</v>
      </c>
      <c r="F367" s="279">
        <f t="shared" si="10"/>
        <v>282.31</v>
      </c>
      <c r="G367" s="99"/>
      <c r="H367" s="100"/>
    </row>
    <row r="368" spans="2:9" ht="15.75" x14ac:dyDescent="0.25">
      <c r="B368" s="170" t="s">
        <v>295</v>
      </c>
      <c r="C368" s="82" t="s">
        <v>114</v>
      </c>
      <c r="D368" s="97">
        <v>20</v>
      </c>
      <c r="E368" s="98">
        <v>79.86</v>
      </c>
      <c r="F368" s="279">
        <f t="shared" si="10"/>
        <v>1597.2</v>
      </c>
      <c r="G368" s="99"/>
      <c r="H368" s="100"/>
      <c r="I368" s="114"/>
    </row>
    <row r="369" spans="2:8" ht="25.5" x14ac:dyDescent="0.25">
      <c r="B369" s="170" t="s">
        <v>296</v>
      </c>
      <c r="C369" s="82" t="s">
        <v>114</v>
      </c>
      <c r="D369" s="97">
        <v>5</v>
      </c>
      <c r="E369" s="98">
        <v>606.91</v>
      </c>
      <c r="F369" s="279">
        <f t="shared" si="10"/>
        <v>3034.5499999999997</v>
      </c>
      <c r="G369" s="99"/>
      <c r="H369" s="100"/>
    </row>
    <row r="370" spans="2:8" ht="15.75" x14ac:dyDescent="0.25">
      <c r="B370" s="170" t="s">
        <v>321</v>
      </c>
      <c r="C370" s="82" t="s">
        <v>114</v>
      </c>
      <c r="D370" s="97">
        <v>3</v>
      </c>
      <c r="E370" s="98">
        <v>64.31</v>
      </c>
      <c r="F370" s="279">
        <f t="shared" si="10"/>
        <v>192.93</v>
      </c>
      <c r="G370" s="99"/>
      <c r="H370" s="100"/>
    </row>
    <row r="371" spans="2:8" ht="15.75" x14ac:dyDescent="0.25">
      <c r="B371" s="170" t="s">
        <v>322</v>
      </c>
      <c r="C371" s="82" t="s">
        <v>114</v>
      </c>
      <c r="D371" s="97">
        <v>20</v>
      </c>
      <c r="E371" s="98">
        <v>184.05</v>
      </c>
      <c r="F371" s="279">
        <f t="shared" si="10"/>
        <v>3681</v>
      </c>
      <c r="G371" s="99"/>
      <c r="H371" s="100"/>
    </row>
    <row r="372" spans="2:8" ht="15.75" x14ac:dyDescent="0.25">
      <c r="B372" s="170" t="s">
        <v>323</v>
      </c>
      <c r="C372" s="82" t="s">
        <v>114</v>
      </c>
      <c r="D372" s="97">
        <v>5</v>
      </c>
      <c r="E372" s="98">
        <v>186.95</v>
      </c>
      <c r="F372" s="279">
        <f t="shared" si="10"/>
        <v>934.75</v>
      </c>
      <c r="G372" s="99"/>
      <c r="H372" s="100"/>
    </row>
    <row r="373" spans="2:8" ht="15.75" x14ac:dyDescent="0.25">
      <c r="B373" s="170" t="s">
        <v>324</v>
      </c>
      <c r="C373" s="82" t="s">
        <v>114</v>
      </c>
      <c r="D373" s="97">
        <v>5</v>
      </c>
      <c r="E373" s="98">
        <v>275.39</v>
      </c>
      <c r="F373" s="279">
        <f t="shared" si="10"/>
        <v>1376.9499999999998</v>
      </c>
      <c r="G373" s="99"/>
      <c r="H373" s="100"/>
    </row>
    <row r="374" spans="2:8" ht="15.75" x14ac:dyDescent="0.25">
      <c r="B374" s="170" t="s">
        <v>301</v>
      </c>
      <c r="C374" s="82" t="s">
        <v>114</v>
      </c>
      <c r="D374" s="97">
        <v>30</v>
      </c>
      <c r="E374" s="98">
        <v>44.03</v>
      </c>
      <c r="F374" s="279">
        <f t="shared" si="10"/>
        <v>1320.9</v>
      </c>
      <c r="G374" s="99"/>
      <c r="H374" s="100"/>
    </row>
    <row r="375" spans="2:8" ht="15.75" x14ac:dyDescent="0.25">
      <c r="B375" s="170" t="s">
        <v>325</v>
      </c>
      <c r="C375" s="82" t="s">
        <v>114</v>
      </c>
      <c r="D375" s="97">
        <v>1</v>
      </c>
      <c r="E375" s="98">
        <v>158.13999999999999</v>
      </c>
      <c r="F375" s="279">
        <f t="shared" si="10"/>
        <v>158.13999999999999</v>
      </c>
      <c r="G375" s="99"/>
      <c r="H375" s="100"/>
    </row>
    <row r="376" spans="2:8" ht="15.75" x14ac:dyDescent="0.25">
      <c r="B376" s="170" t="s">
        <v>326</v>
      </c>
      <c r="C376" s="82" t="s">
        <v>114</v>
      </c>
      <c r="D376" s="97">
        <v>5</v>
      </c>
      <c r="E376" s="98">
        <v>409.71</v>
      </c>
      <c r="F376" s="279">
        <f t="shared" si="10"/>
        <v>2048.5499999999997</v>
      </c>
      <c r="G376" s="99"/>
      <c r="H376" s="100"/>
    </row>
    <row r="377" spans="2:8" ht="15.75" x14ac:dyDescent="0.25">
      <c r="B377" s="170" t="s">
        <v>327</v>
      </c>
      <c r="C377" s="82" t="s">
        <v>114</v>
      </c>
      <c r="D377" s="97">
        <v>3</v>
      </c>
      <c r="E377" s="98">
        <v>126.04</v>
      </c>
      <c r="F377" s="279">
        <f t="shared" si="10"/>
        <v>378.12</v>
      </c>
      <c r="G377" s="99"/>
      <c r="H377" s="100"/>
    </row>
    <row r="378" spans="2:8" ht="15.75" x14ac:dyDescent="0.25">
      <c r="B378" s="170" t="s">
        <v>328</v>
      </c>
      <c r="C378" s="82" t="s">
        <v>114</v>
      </c>
      <c r="D378" s="97">
        <v>5</v>
      </c>
      <c r="E378" s="98">
        <v>118.87</v>
      </c>
      <c r="F378" s="279">
        <f t="shared" si="10"/>
        <v>594.35</v>
      </c>
      <c r="G378" s="99"/>
      <c r="H378" s="100"/>
    </row>
    <row r="379" spans="2:8" ht="15.75" x14ac:dyDescent="0.25">
      <c r="B379" s="170" t="s">
        <v>329</v>
      </c>
      <c r="C379" s="82" t="s">
        <v>114</v>
      </c>
      <c r="D379" s="97">
        <v>1</v>
      </c>
      <c r="E379" s="98">
        <v>688.28</v>
      </c>
      <c r="F379" s="279">
        <f t="shared" si="10"/>
        <v>688.28</v>
      </c>
      <c r="G379" s="99"/>
      <c r="H379" s="100"/>
    </row>
    <row r="380" spans="2:8" ht="15.75" x14ac:dyDescent="0.25">
      <c r="B380" s="170" t="s">
        <v>330</v>
      </c>
      <c r="C380" s="82" t="s">
        <v>114</v>
      </c>
      <c r="D380" s="97">
        <v>2</v>
      </c>
      <c r="E380" s="98">
        <v>494.24</v>
      </c>
      <c r="F380" s="279">
        <f t="shared" si="10"/>
        <v>988.48</v>
      </c>
      <c r="G380" s="99"/>
      <c r="H380" s="100"/>
    </row>
    <row r="381" spans="2:8" ht="15.75" x14ac:dyDescent="0.25">
      <c r="B381" s="188" t="s">
        <v>295</v>
      </c>
      <c r="C381" s="82" t="s">
        <v>114</v>
      </c>
      <c r="D381" s="97">
        <v>10</v>
      </c>
      <c r="E381" s="98">
        <v>67.099999999999994</v>
      </c>
      <c r="F381" s="279">
        <f t="shared" si="10"/>
        <v>671</v>
      </c>
      <c r="G381" s="99"/>
      <c r="H381" s="100"/>
    </row>
    <row r="382" spans="2:8" ht="22.5" x14ac:dyDescent="0.25">
      <c r="B382" s="188" t="s">
        <v>296</v>
      </c>
      <c r="C382" s="82" t="s">
        <v>114</v>
      </c>
      <c r="D382" s="97">
        <v>3</v>
      </c>
      <c r="E382" s="98">
        <v>383.23</v>
      </c>
      <c r="F382" s="279">
        <f t="shared" si="10"/>
        <v>1149.69</v>
      </c>
      <c r="G382" s="99"/>
      <c r="H382" s="100"/>
    </row>
    <row r="383" spans="2:8" ht="15.75" x14ac:dyDescent="0.25">
      <c r="B383" s="188" t="s">
        <v>321</v>
      </c>
      <c r="C383" s="82" t="s">
        <v>114</v>
      </c>
      <c r="D383" s="97">
        <v>3</v>
      </c>
      <c r="E383" s="98">
        <v>55.26</v>
      </c>
      <c r="F383" s="279">
        <f t="shared" si="10"/>
        <v>165.78</v>
      </c>
      <c r="G383" s="99"/>
      <c r="H383" s="100"/>
    </row>
    <row r="384" spans="2:8" ht="15.75" x14ac:dyDescent="0.25">
      <c r="B384" s="188" t="s">
        <v>300</v>
      </c>
      <c r="C384" s="82" t="s">
        <v>114</v>
      </c>
      <c r="D384" s="97">
        <v>15</v>
      </c>
      <c r="E384" s="98">
        <v>107.94</v>
      </c>
      <c r="F384" s="279">
        <f t="shared" si="10"/>
        <v>1619.1</v>
      </c>
      <c r="G384" s="99"/>
      <c r="H384" s="100"/>
    </row>
    <row r="385" spans="2:12" ht="15.75" x14ac:dyDescent="0.25">
      <c r="B385" s="188" t="s">
        <v>331</v>
      </c>
      <c r="C385" s="82" t="s">
        <v>114</v>
      </c>
      <c r="D385" s="97">
        <v>5</v>
      </c>
      <c r="E385" s="98">
        <v>155.82</v>
      </c>
      <c r="F385" s="279">
        <f t="shared" si="10"/>
        <v>779.09999999999991</v>
      </c>
      <c r="G385" s="99"/>
      <c r="H385" s="100"/>
    </row>
    <row r="386" spans="2:12" ht="15.75" x14ac:dyDescent="0.25">
      <c r="B386" s="188" t="s">
        <v>332</v>
      </c>
      <c r="C386" s="82" t="s">
        <v>114</v>
      </c>
      <c r="D386" s="97">
        <v>15</v>
      </c>
      <c r="E386" s="98">
        <v>32.69</v>
      </c>
      <c r="F386" s="279">
        <f t="shared" si="10"/>
        <v>490.34999999999997</v>
      </c>
      <c r="G386" s="99"/>
      <c r="H386" s="100"/>
    </row>
    <row r="387" spans="2:12" ht="15.75" x14ac:dyDescent="0.25">
      <c r="B387" s="188" t="s">
        <v>325</v>
      </c>
      <c r="C387" s="82" t="s">
        <v>114</v>
      </c>
      <c r="D387" s="97">
        <v>1</v>
      </c>
      <c r="E387" s="98">
        <v>150.30000000000001</v>
      </c>
      <c r="F387" s="279">
        <f t="shared" si="10"/>
        <v>150.30000000000001</v>
      </c>
      <c r="G387" s="99"/>
      <c r="H387" s="100"/>
    </row>
    <row r="388" spans="2:12" ht="15.75" x14ac:dyDescent="0.25">
      <c r="B388" s="188" t="s">
        <v>301</v>
      </c>
      <c r="C388" s="82" t="s">
        <v>114</v>
      </c>
      <c r="D388" s="97">
        <v>1</v>
      </c>
      <c r="E388" s="98">
        <v>22.51</v>
      </c>
      <c r="F388" s="279">
        <f t="shared" si="10"/>
        <v>22.51</v>
      </c>
      <c r="G388" s="99"/>
      <c r="H388" s="100"/>
    </row>
    <row r="389" spans="2:12" ht="18.75" customHeight="1" x14ac:dyDescent="0.25">
      <c r="B389" s="188" t="s">
        <v>326</v>
      </c>
      <c r="C389" s="82" t="s">
        <v>114</v>
      </c>
      <c r="D389" s="97">
        <v>10</v>
      </c>
      <c r="E389" s="98">
        <v>71.25</v>
      </c>
      <c r="F389" s="279">
        <f t="shared" si="10"/>
        <v>712.5</v>
      </c>
      <c r="G389" s="81"/>
      <c r="H389" s="1"/>
      <c r="J389" s="207"/>
      <c r="K389" s="284">
        <v>71.25</v>
      </c>
      <c r="L389">
        <f>SUM(J389*K389)</f>
        <v>0</v>
      </c>
    </row>
    <row r="390" spans="2:12" ht="21" customHeight="1" x14ac:dyDescent="0.25">
      <c r="B390" s="188" t="s">
        <v>303</v>
      </c>
      <c r="C390" s="82" t="s">
        <v>114</v>
      </c>
      <c r="D390" s="97">
        <v>3</v>
      </c>
      <c r="E390" s="98">
        <v>92.52</v>
      </c>
      <c r="F390" s="279">
        <f t="shared" si="10"/>
        <v>277.56</v>
      </c>
      <c r="G390" s="81"/>
      <c r="H390" s="1"/>
      <c r="I390" s="1"/>
      <c r="J390" s="207"/>
      <c r="K390" s="284">
        <v>92.52</v>
      </c>
      <c r="L390" s="86">
        <f>J390*K390</f>
        <v>0</v>
      </c>
    </row>
    <row r="391" spans="2:12" ht="14.25" customHeight="1" x14ac:dyDescent="0.25">
      <c r="B391" s="96"/>
      <c r="C391" s="82"/>
      <c r="D391" s="97"/>
      <c r="E391" s="98"/>
      <c r="F391" s="279">
        <v>24457.4</v>
      </c>
      <c r="G391" s="81"/>
      <c r="H391" s="1"/>
      <c r="I391" s="1"/>
      <c r="J391" s="207"/>
      <c r="K391" s="100"/>
      <c r="L391" s="114"/>
    </row>
    <row r="392" spans="2:12" ht="18.75" x14ac:dyDescent="0.3">
      <c r="B392" s="185"/>
      <c r="C392" s="46" t="s">
        <v>156</v>
      </c>
      <c r="D392" s="79"/>
      <c r="E392" s="79"/>
      <c r="F392" s="281">
        <f>SUM(F334:F391)</f>
        <v>82259.39</v>
      </c>
      <c r="G392" s="15"/>
      <c r="H392" s="1"/>
    </row>
    <row r="393" spans="2:12" x14ac:dyDescent="0.25">
      <c r="G393" s="15"/>
      <c r="H393" s="1"/>
    </row>
    <row r="394" spans="2:12" ht="15.95" customHeight="1" x14ac:dyDescent="0.25">
      <c r="B394" s="326" t="s">
        <v>112</v>
      </c>
      <c r="C394" s="326"/>
      <c r="D394" s="115"/>
      <c r="E394" s="115"/>
      <c r="F394" s="283"/>
      <c r="G394" s="189"/>
      <c r="H394" s="1"/>
    </row>
    <row r="395" spans="2:12" ht="66" customHeight="1" x14ac:dyDescent="0.25">
      <c r="B395" s="190" t="s">
        <v>333</v>
      </c>
      <c r="C395" s="103" t="s">
        <v>334</v>
      </c>
      <c r="D395" s="103">
        <v>12</v>
      </c>
      <c r="E395" s="180">
        <v>10416.666666666701</v>
      </c>
      <c r="F395" s="279">
        <f>D395*E395</f>
        <v>125000.00000000041</v>
      </c>
      <c r="G395" s="105"/>
    </row>
    <row r="396" spans="2:12" ht="15.95" customHeight="1" x14ac:dyDescent="0.25">
      <c r="B396" s="327" t="s">
        <v>158</v>
      </c>
      <c r="C396" s="327"/>
      <c r="D396" s="115"/>
      <c r="E396" s="115"/>
      <c r="F396" s="277">
        <f>SUM(F395)</f>
        <v>125000.00000000041</v>
      </c>
      <c r="G396" s="181"/>
    </row>
    <row r="397" spans="2:12" ht="15.95" customHeight="1" x14ac:dyDescent="0.25">
      <c r="B397" s="326" t="s">
        <v>124</v>
      </c>
      <c r="C397" s="326"/>
      <c r="D397" s="103"/>
      <c r="E397" s="103"/>
      <c r="F397" s="276"/>
      <c r="G397" s="105"/>
    </row>
    <row r="398" spans="2:12" ht="41.45" customHeight="1" x14ac:dyDescent="0.25">
      <c r="B398" s="125" t="s">
        <v>335</v>
      </c>
      <c r="C398" s="103" t="s">
        <v>336</v>
      </c>
      <c r="D398" s="158">
        <v>50</v>
      </c>
      <c r="E398" s="111">
        <v>100</v>
      </c>
      <c r="F398" s="279">
        <f>D398*E398</f>
        <v>5000</v>
      </c>
      <c r="G398" s="105"/>
    </row>
    <row r="399" spans="2:12" ht="15.95" customHeight="1" x14ac:dyDescent="0.25">
      <c r="B399" s="327" t="s">
        <v>158</v>
      </c>
      <c r="C399" s="327"/>
      <c r="D399" s="115"/>
      <c r="E399" s="115"/>
      <c r="F399" s="277">
        <f>SUM(F398)</f>
        <v>5000</v>
      </c>
      <c r="G399" s="181"/>
    </row>
    <row r="400" spans="2:12" ht="15.95" customHeight="1" x14ac:dyDescent="0.25">
      <c r="B400" s="327" t="s">
        <v>99</v>
      </c>
      <c r="C400" s="327"/>
      <c r="D400" s="115"/>
      <c r="E400" s="115"/>
      <c r="F400" s="277">
        <f>SUM(F396+F399)</f>
        <v>130000.00000000041</v>
      </c>
      <c r="G400" s="181"/>
    </row>
    <row r="401" spans="2:8" x14ac:dyDescent="0.25">
      <c r="G401" s="15"/>
    </row>
    <row r="402" spans="2:8" ht="47.25" x14ac:dyDescent="0.25">
      <c r="B402" s="208" t="s">
        <v>353</v>
      </c>
      <c r="C402" s="217" t="s">
        <v>346</v>
      </c>
      <c r="D402" s="213" t="s">
        <v>344</v>
      </c>
      <c r="E402" s="213" t="s">
        <v>345</v>
      </c>
      <c r="F402" s="134" t="s">
        <v>355</v>
      </c>
    </row>
    <row r="403" spans="2:8" ht="47.25" x14ac:dyDescent="0.25">
      <c r="B403" s="215" t="s">
        <v>227</v>
      </c>
      <c r="C403" s="288">
        <v>0</v>
      </c>
      <c r="D403" s="289">
        <f>SUM(C202)</f>
        <v>10461892.180879999</v>
      </c>
      <c r="E403" s="290">
        <f>SUM(D202)</f>
        <v>1447297.3099999991</v>
      </c>
      <c r="F403" s="291">
        <f>SUM(C403:E403)</f>
        <v>11909189.490879998</v>
      </c>
    </row>
    <row r="404" spans="2:8" ht="63" x14ac:dyDescent="0.25">
      <c r="B404" s="234" t="s">
        <v>228</v>
      </c>
      <c r="C404" s="288">
        <v>0</v>
      </c>
      <c r="D404" s="289">
        <f>SUM(F212+F227+F279+F332+F396)</f>
        <v>358281.15000000037</v>
      </c>
      <c r="E404" s="289">
        <f>SUM(F223+F269+F392+F399)</f>
        <v>217246.05</v>
      </c>
      <c r="F404" s="291">
        <f>SUM(C404:E404)</f>
        <v>575527.20000000042</v>
      </c>
      <c r="H404" s="1">
        <f>SUM(F404-B405)</f>
        <v>1.6722709406167269E-3</v>
      </c>
    </row>
    <row r="405" spans="2:8" ht="26.25" customHeight="1" x14ac:dyDescent="0.25">
      <c r="B405" s="286">
        <f>SUM('расчет подушевого 2023'!C131)</f>
        <v>575527.19832772948</v>
      </c>
      <c r="C405" s="287"/>
      <c r="D405" s="288"/>
      <c r="E405" s="288"/>
      <c r="F405" s="288"/>
    </row>
    <row r="406" spans="2:8" ht="15.75" x14ac:dyDescent="0.25">
      <c r="B406" s="292">
        <f>SUM('расчет подушевого 2022'!C163+'расчет подушевого 2022'!C91+'расчет подушевого 2022'!C92)</f>
        <v>0</v>
      </c>
      <c r="C406" s="292"/>
      <c r="D406" s="288"/>
      <c r="E406" s="288"/>
      <c r="F406" s="292">
        <f>SUM(F403:F405)</f>
        <v>12484716.690879999</v>
      </c>
    </row>
    <row r="407" spans="2:8" x14ac:dyDescent="0.25">
      <c r="C407" s="198"/>
    </row>
    <row r="408" spans="2:8" ht="75.75" customHeight="1" x14ac:dyDescent="0.3">
      <c r="B408" s="322" t="s">
        <v>358</v>
      </c>
      <c r="C408" s="323"/>
      <c r="D408" s="323"/>
      <c r="E408" s="323"/>
      <c r="F408" s="323"/>
    </row>
    <row r="409" spans="2:8" ht="75.75" customHeight="1" x14ac:dyDescent="0.25">
      <c r="B409" s="217" t="s">
        <v>347</v>
      </c>
      <c r="C409" s="217" t="s">
        <v>346</v>
      </c>
      <c r="D409" s="213" t="s">
        <v>344</v>
      </c>
      <c r="E409" s="213" t="s">
        <v>345</v>
      </c>
      <c r="F409" s="134" t="s">
        <v>355</v>
      </c>
    </row>
    <row r="410" spans="2:8" ht="75.2" customHeight="1" x14ac:dyDescent="0.25">
      <c r="B410" s="217" t="s">
        <v>337</v>
      </c>
      <c r="C410" s="50">
        <v>0</v>
      </c>
      <c r="D410" s="49">
        <f>SUM(D403+D184)</f>
        <v>113925363.99066</v>
      </c>
      <c r="E410" s="49">
        <f>SUM(E403+E184)</f>
        <v>11900000.009999998</v>
      </c>
      <c r="F410" s="204">
        <f>SUM(C410:E410)</f>
        <v>125825364.00066</v>
      </c>
      <c r="H410" s="1">
        <f>SUM('расчет подушевого 2023'!C28+'расчет подушевого 2023'!C29+'расчет подушевого 2023'!C59+'расчет подушевого 2023'!C60)</f>
        <v>125825364.00000001</v>
      </c>
    </row>
    <row r="411" spans="2:8" ht="31.35" customHeight="1" x14ac:dyDescent="0.25">
      <c r="B411" s="209" t="s">
        <v>356</v>
      </c>
      <c r="C411" s="235">
        <f>SUM(C185)</f>
        <v>433985.99599999998</v>
      </c>
      <c r="D411" s="210">
        <f>SUM(D404+D185)</f>
        <v>3540136.0100000007</v>
      </c>
      <c r="E411" s="49">
        <f>SUM(E404+E185)</f>
        <v>2099899.9900000002</v>
      </c>
      <c r="F411" s="52">
        <f>SUM(C411:E411)</f>
        <v>6074021.9960000012</v>
      </c>
      <c r="H411" s="1">
        <f>SUM('расчет подушевого 2023'!C129)</f>
        <v>6074022.002700001</v>
      </c>
    </row>
    <row r="412" spans="2:8" ht="15.75" x14ac:dyDescent="0.25">
      <c r="B412" s="209"/>
      <c r="C412" s="52"/>
      <c r="D412" s="49"/>
      <c r="E412" s="49"/>
      <c r="F412" s="52"/>
    </row>
    <row r="413" spans="2:8" x14ac:dyDescent="0.25">
      <c r="B413" s="205">
        <f>SUM('расчет подушевого 2023'!C129+'расчет подушевого 2023'!C28+'расчет подушевого 2023'!C29+'расчет подушевого 2023'!C59+'расчет подушевого 2023'!C60)</f>
        <v>131899386.00270002</v>
      </c>
      <c r="C413" s="205">
        <f t="shared" ref="C413:D413" si="11">SUM(C410:C412)</f>
        <v>433985.99599999998</v>
      </c>
      <c r="D413" s="205">
        <f t="shared" si="11"/>
        <v>117465500.00066</v>
      </c>
      <c r="E413" s="205">
        <f>SUM(E410:E412)</f>
        <v>13999899.999999998</v>
      </c>
      <c r="F413" s="205">
        <f>SUM(F410:F412)</f>
        <v>131899385.99666001</v>
      </c>
    </row>
    <row r="414" spans="2:8" x14ac:dyDescent="0.25">
      <c r="C414" s="198"/>
    </row>
    <row r="415" spans="2:8" ht="15.75" x14ac:dyDescent="0.25">
      <c r="B415" s="4" t="s">
        <v>357</v>
      </c>
      <c r="C415" s="198"/>
    </row>
  </sheetData>
  <mergeCells count="71">
    <mergeCell ref="B7:J7"/>
    <mergeCell ref="B10:J10"/>
    <mergeCell ref="B20:K20"/>
    <mergeCell ref="B73:C73"/>
    <mergeCell ref="B212:C212"/>
    <mergeCell ref="B150:C150"/>
    <mergeCell ref="B155:C155"/>
    <mergeCell ref="B162:C162"/>
    <mergeCell ref="B163:C163"/>
    <mergeCell ref="B144:C144"/>
    <mergeCell ref="B147:C147"/>
    <mergeCell ref="B148:C148"/>
    <mergeCell ref="B151:C151"/>
    <mergeCell ref="B154:C154"/>
    <mergeCell ref="B158:C158"/>
    <mergeCell ref="B159:C159"/>
    <mergeCell ref="B225:C225"/>
    <mergeCell ref="B227:C227"/>
    <mergeCell ref="B229:C229"/>
    <mergeCell ref="B168:C168"/>
    <mergeCell ref="B170:C170"/>
    <mergeCell ref="B175:C175"/>
    <mergeCell ref="B176:C176"/>
    <mergeCell ref="B223:C223"/>
    <mergeCell ref="B179:C179"/>
    <mergeCell ref="B180:C180"/>
    <mergeCell ref="B190:K190"/>
    <mergeCell ref="B209:C209"/>
    <mergeCell ref="B213:C213"/>
    <mergeCell ref="B133:C133"/>
    <mergeCell ref="B114:C114"/>
    <mergeCell ref="B24:C24"/>
    <mergeCell ref="B36:C36"/>
    <mergeCell ref="B40:C40"/>
    <mergeCell ref="B41:C41"/>
    <mergeCell ref="B71:C71"/>
    <mergeCell ref="B92:C92"/>
    <mergeCell ref="B82:C82"/>
    <mergeCell ref="B83:C83"/>
    <mergeCell ref="B143:C143"/>
    <mergeCell ref="B93:C93"/>
    <mergeCell ref="B95:C95"/>
    <mergeCell ref="B101:C101"/>
    <mergeCell ref="B106:C106"/>
    <mergeCell ref="B107:C107"/>
    <mergeCell ref="B120:C120"/>
    <mergeCell ref="B109:C109"/>
    <mergeCell ref="B112:C112"/>
    <mergeCell ref="B118:C118"/>
    <mergeCell ref="B102:C102"/>
    <mergeCell ref="B126:C126"/>
    <mergeCell ref="B127:C127"/>
    <mergeCell ref="B134:C134"/>
    <mergeCell ref="B137:K137"/>
    <mergeCell ref="B139:C139"/>
    <mergeCell ref="B399:C399"/>
    <mergeCell ref="B400:C400"/>
    <mergeCell ref="B5:O5"/>
    <mergeCell ref="B408:F408"/>
    <mergeCell ref="B293:C293"/>
    <mergeCell ref="B295:C295"/>
    <mergeCell ref="B333:C333"/>
    <mergeCell ref="B394:C394"/>
    <mergeCell ref="B396:C396"/>
    <mergeCell ref="B397:C397"/>
    <mergeCell ref="B269:C269"/>
    <mergeCell ref="B271:C271"/>
    <mergeCell ref="B283:C283"/>
    <mergeCell ref="B288:C288"/>
    <mergeCell ref="B289:C289"/>
    <mergeCell ref="B292:C292"/>
  </mergeCells>
  <pageMargins left="0.7" right="0.7" top="0.75" bottom="0.75" header="0.3" footer="0.3"/>
  <pageSetup paperSize="9" scale="57" orientation="portrait" r:id="rId1"/>
  <rowBreaks count="1" manualBreakCount="1">
    <brk id="189" max="6" man="1"/>
  </rowBreaks>
  <colBreaks count="1" manualBreakCount="1">
    <brk id="7" max="459" man="1"/>
  </col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W147"/>
  <sheetViews>
    <sheetView view="pageBreakPreview" topLeftCell="A72" zoomScale="89" zoomScaleNormal="100" zoomScaleSheetLayoutView="89" workbookViewId="0">
      <selection activeCell="B89" sqref="B89:O101"/>
    </sheetView>
  </sheetViews>
  <sheetFormatPr defaultColWidth="8.42578125" defaultRowHeight="15" x14ac:dyDescent="0.25"/>
  <cols>
    <col min="2" max="2" width="31.140625" customWidth="1"/>
    <col min="3" max="3" width="32.28515625" customWidth="1"/>
    <col min="4" max="4" width="27.7109375" customWidth="1"/>
    <col min="5" max="5" width="14.28515625" customWidth="1"/>
    <col min="6" max="7" width="13.42578125" customWidth="1"/>
    <col min="8" max="8" width="11" customWidth="1"/>
    <col min="9" max="9" width="12.85546875" customWidth="1"/>
    <col min="10" max="10" width="15" customWidth="1"/>
    <col min="12" max="12" width="16" customWidth="1"/>
  </cols>
  <sheetData>
    <row r="3" spans="2:11" ht="18.75" x14ac:dyDescent="0.3">
      <c r="B3" s="9" t="s">
        <v>78</v>
      </c>
      <c r="C3" s="9"/>
      <c r="D3" s="9"/>
    </row>
    <row r="4" spans="2:11" ht="31.35" customHeight="1" x14ac:dyDescent="0.3">
      <c r="B4" s="9" t="s">
        <v>0</v>
      </c>
      <c r="C4" s="9"/>
      <c r="D4" s="9"/>
      <c r="E4" s="9"/>
      <c r="F4" s="9"/>
      <c r="G4" s="9"/>
      <c r="H4" s="9"/>
      <c r="I4" s="9"/>
      <c r="J4" s="5"/>
    </row>
    <row r="5" spans="2:11" ht="18.75" x14ac:dyDescent="0.3">
      <c r="B5" s="5" t="s">
        <v>1</v>
      </c>
      <c r="C5" s="5"/>
      <c r="D5" s="5"/>
      <c r="E5" s="5"/>
      <c r="F5" s="5"/>
      <c r="G5" s="5"/>
      <c r="H5" s="5"/>
      <c r="I5" s="5"/>
      <c r="J5" s="5"/>
    </row>
    <row r="6" spans="2:11" ht="18.75" x14ac:dyDescent="0.3">
      <c r="B6" s="5" t="s">
        <v>2</v>
      </c>
      <c r="C6" s="5"/>
      <c r="D6" s="5"/>
      <c r="E6" s="5"/>
      <c r="F6" s="5"/>
      <c r="G6" s="5"/>
      <c r="H6" s="5"/>
      <c r="I6" s="5"/>
      <c r="J6" s="5"/>
    </row>
    <row r="7" spans="2:11" ht="18.75" x14ac:dyDescent="0.3">
      <c r="B7" s="5" t="s">
        <v>3</v>
      </c>
      <c r="C7" s="5"/>
      <c r="D7" s="5"/>
      <c r="E7" s="5"/>
      <c r="F7" s="5"/>
      <c r="G7" s="5"/>
      <c r="H7" s="5"/>
      <c r="I7" s="5"/>
      <c r="J7" s="5"/>
    </row>
    <row r="8" spans="2:11" ht="18.75" x14ac:dyDescent="0.3">
      <c r="B8" s="5" t="s">
        <v>4</v>
      </c>
      <c r="C8" s="5"/>
      <c r="D8" s="5"/>
      <c r="E8" s="5"/>
      <c r="F8" s="5"/>
      <c r="G8" s="5"/>
      <c r="H8" s="5"/>
      <c r="I8" s="5"/>
      <c r="J8" s="5"/>
    </row>
    <row r="9" spans="2:11" ht="18.75" x14ac:dyDescent="0.3">
      <c r="B9" s="5"/>
      <c r="C9" s="5"/>
      <c r="D9" s="5"/>
      <c r="E9" s="5"/>
      <c r="F9" s="5"/>
      <c r="G9" s="5"/>
      <c r="H9" s="5"/>
      <c r="I9" s="5"/>
      <c r="J9" s="5"/>
    </row>
    <row r="10" spans="2:11" ht="18.75" x14ac:dyDescent="0.3">
      <c r="B10" s="5" t="s">
        <v>5</v>
      </c>
      <c r="C10" s="8">
        <f>SUM(C33)</f>
        <v>86226.889631060578</v>
      </c>
      <c r="D10" s="5"/>
      <c r="E10" s="5"/>
      <c r="F10" s="5"/>
      <c r="G10" s="5"/>
      <c r="H10" s="5"/>
      <c r="I10" s="5"/>
      <c r="J10" s="5"/>
    </row>
    <row r="11" spans="2:11" ht="18.75" x14ac:dyDescent="0.3">
      <c r="B11" s="5" t="s">
        <v>6</v>
      </c>
      <c r="C11" s="8">
        <f>SUM(C46)</f>
        <v>8473.7178486673256</v>
      </c>
      <c r="D11" s="5"/>
      <c r="E11" s="5"/>
      <c r="F11" s="5"/>
      <c r="G11" s="5"/>
      <c r="H11" s="5"/>
      <c r="I11" s="5"/>
      <c r="J11" s="5"/>
    </row>
    <row r="12" spans="2:11" ht="18.75" x14ac:dyDescent="0.3">
      <c r="B12" s="5"/>
      <c r="C12" s="5"/>
      <c r="D12" s="5"/>
      <c r="E12" s="5"/>
      <c r="F12" s="5"/>
      <c r="G12" s="5"/>
      <c r="H12" s="5"/>
      <c r="I12" s="5"/>
      <c r="J12" s="5"/>
    </row>
    <row r="13" spans="2:11" ht="18.75" x14ac:dyDescent="0.3">
      <c r="B13" s="5" t="s">
        <v>7</v>
      </c>
      <c r="C13" s="10">
        <f>SUM(C10:C11)</f>
        <v>94700.6074797279</v>
      </c>
      <c r="D13" s="5"/>
      <c r="E13" s="5"/>
      <c r="F13" s="5"/>
      <c r="G13" s="5"/>
      <c r="H13" s="5"/>
      <c r="I13" s="8"/>
      <c r="J13" s="5"/>
    </row>
    <row r="16" spans="2:11" ht="52.7" customHeight="1" x14ac:dyDescent="0.3">
      <c r="B16" s="318" t="s">
        <v>60</v>
      </c>
      <c r="C16" s="318"/>
      <c r="D16" s="318"/>
      <c r="E16" s="318"/>
      <c r="F16" s="318"/>
      <c r="G16" s="318"/>
      <c r="H16" s="318"/>
      <c r="I16" s="318"/>
      <c r="J16" s="318"/>
      <c r="K16" s="318"/>
    </row>
    <row r="18" spans="2:11" ht="18.75" x14ac:dyDescent="0.3">
      <c r="B18" s="5" t="s">
        <v>8</v>
      </c>
      <c r="C18" s="5"/>
      <c r="D18" s="5"/>
      <c r="E18" s="5"/>
      <c r="F18" s="5"/>
      <c r="G18" s="5"/>
      <c r="H18" s="5"/>
      <c r="I18" s="5"/>
      <c r="J18" s="5"/>
      <c r="K18" s="5"/>
    </row>
    <row r="19" spans="2:11" ht="18.75" x14ac:dyDescent="0.3">
      <c r="B19" s="5" t="s">
        <v>2</v>
      </c>
      <c r="C19" s="5"/>
      <c r="D19" s="5"/>
      <c r="E19" s="5"/>
      <c r="F19" s="5"/>
      <c r="G19" s="5"/>
      <c r="H19" s="5"/>
      <c r="I19" s="5"/>
      <c r="J19" s="5"/>
      <c r="K19" s="5"/>
    </row>
    <row r="20" spans="2:11" ht="18.75" x14ac:dyDescent="0.3"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2:11" ht="57.6" customHeight="1" x14ac:dyDescent="0.3">
      <c r="B21" s="316" t="s">
        <v>9</v>
      </c>
      <c r="C21" s="316"/>
      <c r="D21" s="316"/>
      <c r="E21" s="316"/>
      <c r="F21" s="316"/>
      <c r="G21" s="316"/>
      <c r="H21" s="316"/>
      <c r="I21" s="316"/>
      <c r="J21" s="316"/>
      <c r="K21" s="316"/>
    </row>
    <row r="22" spans="2:11" ht="18.75" x14ac:dyDescent="0.3"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2:11" ht="38.85" customHeight="1" x14ac:dyDescent="0.3">
      <c r="B23" s="316" t="s">
        <v>10</v>
      </c>
      <c r="C23" s="317"/>
      <c r="D23" s="317"/>
      <c r="E23" s="317"/>
      <c r="F23" s="317"/>
      <c r="G23" s="317"/>
      <c r="H23" s="317"/>
      <c r="I23" s="317"/>
      <c r="J23" s="317"/>
      <c r="K23" s="317"/>
    </row>
    <row r="24" spans="2:11" ht="28.15" customHeight="1" x14ac:dyDescent="0.3">
      <c r="B24" s="5" t="s">
        <v>11</v>
      </c>
      <c r="C24" s="5"/>
      <c r="D24" s="5"/>
      <c r="E24" s="5"/>
      <c r="F24" s="5"/>
      <c r="G24" s="5"/>
      <c r="H24" s="5"/>
      <c r="I24" s="5"/>
      <c r="J24" s="5"/>
      <c r="K24" s="5"/>
    </row>
    <row r="25" spans="2:11" ht="18.75" x14ac:dyDescent="0.3"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2:11" ht="18.75" x14ac:dyDescent="0.3">
      <c r="B26" s="5" t="s">
        <v>12</v>
      </c>
      <c r="C26" s="5"/>
      <c r="D26" s="5"/>
      <c r="E26" s="5"/>
      <c r="F26" s="5"/>
      <c r="G26" s="5"/>
      <c r="H26" s="5"/>
      <c r="I26" s="5"/>
      <c r="J26" s="5"/>
      <c r="K26" s="5"/>
    </row>
    <row r="28" spans="2:11" ht="18.75" x14ac:dyDescent="0.3">
      <c r="B28" s="8" t="s">
        <v>13</v>
      </c>
      <c r="C28" s="8">
        <f>SUM(C114)</f>
        <v>92977676.739999995</v>
      </c>
      <c r="D28" s="5">
        <v>1470</v>
      </c>
      <c r="E28" s="5">
        <f>SUM(C28/D28)</f>
        <v>63250.120231292516</v>
      </c>
      <c r="F28" s="5"/>
      <c r="J28" s="1"/>
    </row>
    <row r="29" spans="2:11" ht="18.75" x14ac:dyDescent="0.3">
      <c r="B29" s="5" t="s">
        <v>14</v>
      </c>
      <c r="C29" s="5">
        <v>28213797.77</v>
      </c>
      <c r="D29" s="5">
        <v>1470</v>
      </c>
      <c r="E29" s="5">
        <f>SUM(C29/D29)</f>
        <v>19193.059707482993</v>
      </c>
      <c r="F29" s="5"/>
    </row>
    <row r="30" spans="2:11" ht="18.75" x14ac:dyDescent="0.3">
      <c r="B30" s="5" t="s">
        <v>15</v>
      </c>
      <c r="C30" s="8">
        <f>SUM(C86)</f>
        <v>3783.7096922850551</v>
      </c>
      <c r="D30" s="5"/>
      <c r="E30" s="5"/>
      <c r="F30" s="5"/>
    </row>
    <row r="31" spans="2:11" ht="18.75" x14ac:dyDescent="0.3">
      <c r="B31" s="5" t="s">
        <v>16</v>
      </c>
      <c r="C31" s="8">
        <v>0</v>
      </c>
      <c r="D31" s="5"/>
      <c r="E31" s="5"/>
      <c r="F31" s="5"/>
    </row>
    <row r="32" spans="2:11" ht="18.75" x14ac:dyDescent="0.3">
      <c r="B32" s="5"/>
      <c r="C32" s="5"/>
      <c r="D32" s="5"/>
      <c r="E32" s="5"/>
      <c r="F32" s="5"/>
    </row>
    <row r="33" spans="2:10" ht="18.75" x14ac:dyDescent="0.3">
      <c r="B33" s="9" t="s">
        <v>17</v>
      </c>
      <c r="C33" s="14">
        <f>SUM(E28+E29+C30+C31)</f>
        <v>86226.889631060578</v>
      </c>
      <c r="D33" s="5"/>
      <c r="E33" s="5"/>
      <c r="F33" s="5"/>
    </row>
    <row r="35" spans="2:10" ht="18.75" x14ac:dyDescent="0.3">
      <c r="B35" s="9" t="s">
        <v>61</v>
      </c>
      <c r="C35" s="9"/>
      <c r="D35" s="9"/>
      <c r="E35" s="9"/>
      <c r="F35" s="9"/>
      <c r="G35" s="9"/>
      <c r="H35" s="9"/>
      <c r="I35" s="9"/>
    </row>
    <row r="36" spans="2:10" ht="18.75" x14ac:dyDescent="0.3">
      <c r="B36" s="5" t="s">
        <v>18</v>
      </c>
      <c r="C36" s="5"/>
      <c r="D36" s="5"/>
      <c r="E36" s="5"/>
      <c r="F36" s="5"/>
      <c r="G36" s="5"/>
      <c r="H36" s="5"/>
      <c r="I36" s="5"/>
      <c r="J36" s="5"/>
    </row>
    <row r="37" spans="2:10" ht="18.75" x14ac:dyDescent="0.3">
      <c r="B37" s="5" t="s">
        <v>2</v>
      </c>
      <c r="C37" s="5"/>
      <c r="D37" s="5"/>
      <c r="E37" s="5"/>
      <c r="F37" s="5"/>
      <c r="G37" s="5"/>
      <c r="H37" s="5"/>
      <c r="I37" s="5"/>
      <c r="J37" s="5"/>
    </row>
    <row r="38" spans="2:10" ht="18.75" x14ac:dyDescent="0.3">
      <c r="B38" s="5"/>
      <c r="C38" s="5"/>
      <c r="D38" s="5"/>
      <c r="E38" s="5"/>
      <c r="F38" s="5"/>
      <c r="G38" s="5"/>
      <c r="H38" s="5"/>
      <c r="I38" s="5"/>
      <c r="J38" s="5"/>
    </row>
    <row r="39" spans="2:10" ht="55.7" customHeight="1" x14ac:dyDescent="0.3">
      <c r="B39" s="316" t="s">
        <v>19</v>
      </c>
      <c r="C39" s="319"/>
      <c r="D39" s="319"/>
      <c r="E39" s="319"/>
      <c r="F39" s="319"/>
      <c r="G39" s="319"/>
      <c r="H39" s="319"/>
      <c r="I39" s="319"/>
      <c r="J39" s="319"/>
    </row>
    <row r="40" spans="2:10" ht="18.75" x14ac:dyDescent="0.3">
      <c r="B40" s="5"/>
      <c r="C40" s="5"/>
      <c r="D40" s="5"/>
      <c r="E40" s="5"/>
      <c r="F40" s="5"/>
      <c r="G40" s="5"/>
      <c r="H40" s="5"/>
      <c r="I40" s="5"/>
      <c r="J40" s="5"/>
    </row>
    <row r="41" spans="2:10" ht="18.75" x14ac:dyDescent="0.3">
      <c r="B41" s="5" t="s">
        <v>20</v>
      </c>
      <c r="C41" s="5"/>
      <c r="D41" s="5"/>
      <c r="E41" s="5"/>
      <c r="F41" s="5"/>
      <c r="G41" s="5"/>
      <c r="H41" s="5"/>
      <c r="I41" s="5"/>
      <c r="J41" s="5"/>
    </row>
    <row r="42" spans="2:10" ht="18.75" x14ac:dyDescent="0.3">
      <c r="B42" s="5"/>
      <c r="C42" s="5"/>
      <c r="D42" s="5"/>
      <c r="E42" s="5"/>
      <c r="F42" s="5"/>
      <c r="G42" s="5"/>
      <c r="H42" s="5"/>
      <c r="I42" s="5"/>
      <c r="J42" s="5"/>
    </row>
    <row r="43" spans="2:10" ht="18.75" x14ac:dyDescent="0.3">
      <c r="B43" s="5" t="s">
        <v>21</v>
      </c>
      <c r="C43" s="8">
        <f>SUM(C62)</f>
        <v>12456365.237540968</v>
      </c>
      <c r="D43" s="5"/>
      <c r="E43" s="5"/>
      <c r="F43" s="5"/>
      <c r="G43" s="5"/>
      <c r="H43" s="5"/>
      <c r="I43" s="5"/>
      <c r="J43" s="5"/>
    </row>
    <row r="44" spans="2:10" ht="18.75" x14ac:dyDescent="0.3">
      <c r="B44" s="5" t="s">
        <v>22</v>
      </c>
      <c r="C44" s="5">
        <f>SUM(C74)</f>
        <v>6.8027210884353748E-4</v>
      </c>
      <c r="D44" s="5"/>
      <c r="E44" s="5"/>
      <c r="F44" s="5"/>
      <c r="G44" s="5"/>
      <c r="H44" s="5"/>
      <c r="I44" s="5"/>
      <c r="J44" s="5"/>
    </row>
    <row r="45" spans="2:10" ht="18.75" x14ac:dyDescent="0.3">
      <c r="B45" s="5"/>
      <c r="C45" s="5"/>
      <c r="D45" s="5"/>
      <c r="E45" s="5"/>
      <c r="F45" s="5"/>
      <c r="G45" s="5"/>
      <c r="H45" s="5"/>
      <c r="I45" s="5"/>
      <c r="J45" s="5"/>
    </row>
    <row r="46" spans="2:10" ht="18.75" x14ac:dyDescent="0.3">
      <c r="B46" s="9" t="s">
        <v>23</v>
      </c>
      <c r="C46" s="9">
        <f>SUM(C43*C44)</f>
        <v>8473.7178486673256</v>
      </c>
      <c r="D46" s="5"/>
      <c r="E46" s="5"/>
      <c r="F46" s="5"/>
      <c r="G46" s="5"/>
      <c r="H46" s="5"/>
      <c r="I46" s="5"/>
      <c r="J46" s="5"/>
    </row>
    <row r="49" spans="2:20" ht="35.65" customHeight="1" x14ac:dyDescent="0.3">
      <c r="B49" s="9" t="s">
        <v>62</v>
      </c>
      <c r="C49" s="9"/>
      <c r="D49" s="9"/>
      <c r="E49" s="9"/>
      <c r="F49" s="9"/>
      <c r="G49" s="9"/>
      <c r="H49" s="9"/>
      <c r="I49" s="9"/>
    </row>
    <row r="50" spans="2:20" ht="18.75" x14ac:dyDescent="0.3">
      <c r="B50" s="5" t="s">
        <v>24</v>
      </c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</row>
    <row r="51" spans="2:20" ht="18.75" x14ac:dyDescent="0.3">
      <c r="B51" s="5" t="s">
        <v>2</v>
      </c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2:20" ht="18.75" x14ac:dyDescent="0.3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</row>
    <row r="53" spans="2:20" ht="77.650000000000006" customHeight="1" x14ac:dyDescent="0.3">
      <c r="B53" s="316" t="s">
        <v>81</v>
      </c>
      <c r="C53" s="317"/>
      <c r="D53" s="317"/>
      <c r="E53" s="317"/>
      <c r="F53" s="317"/>
      <c r="G53" s="317"/>
      <c r="H53" s="317"/>
      <c r="I53" s="317"/>
      <c r="J53" s="317"/>
      <c r="K53" s="317"/>
      <c r="L53" s="317"/>
      <c r="M53" s="5"/>
      <c r="N53" s="5"/>
      <c r="O53" s="5"/>
      <c r="P53" s="5"/>
      <c r="Q53" s="5"/>
      <c r="R53" s="5"/>
    </row>
    <row r="54" spans="2:20" ht="18.75" x14ac:dyDescent="0.3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</row>
    <row r="55" spans="2:20" ht="36.6" customHeight="1" x14ac:dyDescent="0.3">
      <c r="B55" s="316" t="s">
        <v>66</v>
      </c>
      <c r="C55" s="317"/>
      <c r="D55" s="317"/>
      <c r="E55" s="317"/>
      <c r="F55" s="317"/>
      <c r="G55" s="317"/>
      <c r="H55" s="317"/>
      <c r="I55" s="317"/>
      <c r="J55" s="317"/>
      <c r="K55" s="317"/>
      <c r="L55" s="317"/>
      <c r="M55" s="317"/>
      <c r="N55" s="317"/>
      <c r="O55" s="317"/>
      <c r="P55" s="317"/>
      <c r="Q55" s="317"/>
      <c r="R55" s="317"/>
      <c r="S55" s="317"/>
      <c r="T55" s="317"/>
    </row>
    <row r="56" spans="2:20" ht="18.75" x14ac:dyDescent="0.3"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</row>
    <row r="57" spans="2:20" ht="60.75" customHeight="1" x14ac:dyDescent="0.3">
      <c r="B57" s="316" t="s">
        <v>82</v>
      </c>
      <c r="C57" s="317"/>
      <c r="D57" s="317"/>
      <c r="E57" s="317"/>
      <c r="F57" s="317"/>
      <c r="G57" s="317"/>
      <c r="H57" s="317"/>
      <c r="I57" s="317"/>
      <c r="J57" s="317"/>
      <c r="K57" s="317"/>
      <c r="L57" s="317"/>
      <c r="M57" s="317"/>
      <c r="N57" s="5"/>
      <c r="O57" s="5"/>
      <c r="P57" s="5"/>
      <c r="Q57" s="5"/>
      <c r="R57" s="5"/>
    </row>
    <row r="58" spans="2:20" ht="18.75" x14ac:dyDescent="0.3"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</row>
    <row r="59" spans="2:20" ht="18.75" x14ac:dyDescent="0.3">
      <c r="B59" s="5" t="s">
        <v>25</v>
      </c>
      <c r="C59" s="8">
        <f>SUM(C118)</f>
        <v>9146842.0899999999</v>
      </c>
      <c r="D59" s="5"/>
      <c r="E59" s="8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</row>
    <row r="60" spans="2:20" ht="18.75" x14ac:dyDescent="0.3">
      <c r="B60" s="5" t="s">
        <v>26</v>
      </c>
      <c r="C60" s="8">
        <f>2762346.31+0.09</f>
        <v>2762346.4</v>
      </c>
      <c r="D60" s="8"/>
      <c r="E60" s="8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</row>
    <row r="61" spans="2:20" ht="18.75" x14ac:dyDescent="0.3">
      <c r="B61" s="5" t="s">
        <v>27</v>
      </c>
      <c r="C61" s="8">
        <f>SUM(C131)</f>
        <v>547176.74754096847</v>
      </c>
      <c r="D61" s="5"/>
      <c r="E61" s="8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</row>
    <row r="62" spans="2:20" ht="18.75" x14ac:dyDescent="0.3">
      <c r="B62" s="9" t="s">
        <v>28</v>
      </c>
      <c r="C62" s="14">
        <f>SUM(C59:C61)</f>
        <v>12456365.237540968</v>
      </c>
      <c r="D62" s="5"/>
      <c r="E62" s="8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</row>
    <row r="65" spans="2:12" ht="40.35" customHeight="1" x14ac:dyDescent="0.3">
      <c r="B65" s="318" t="s">
        <v>67</v>
      </c>
      <c r="C65" s="319"/>
      <c r="D65" s="319"/>
      <c r="E65" s="319"/>
      <c r="F65" s="319"/>
      <c r="G65" s="319"/>
      <c r="H65" s="319"/>
      <c r="I65" s="319"/>
      <c r="J65" s="319"/>
      <c r="K65" s="319"/>
    </row>
    <row r="66" spans="2:12" ht="18.75" x14ac:dyDescent="0.3">
      <c r="B66" s="5" t="s">
        <v>63</v>
      </c>
      <c r="C66" s="5"/>
      <c r="D66" s="5"/>
      <c r="E66" s="5"/>
      <c r="F66" s="5"/>
      <c r="G66" s="5"/>
      <c r="H66" s="5"/>
    </row>
    <row r="67" spans="2:12" ht="18.75" x14ac:dyDescent="0.3">
      <c r="B67" s="5" t="s">
        <v>29</v>
      </c>
      <c r="C67" s="5"/>
      <c r="D67" s="5"/>
      <c r="E67" s="5"/>
      <c r="F67" s="5"/>
      <c r="G67" s="5"/>
      <c r="H67" s="5"/>
    </row>
    <row r="68" spans="2:12" ht="18.75" x14ac:dyDescent="0.3">
      <c r="B68" s="5"/>
      <c r="C68" s="5"/>
      <c r="D68" s="5"/>
      <c r="E68" s="5"/>
      <c r="F68" s="5"/>
      <c r="G68" s="5"/>
      <c r="H68" s="5"/>
    </row>
    <row r="69" spans="2:12" ht="18.75" x14ac:dyDescent="0.3">
      <c r="B69" s="5" t="s">
        <v>30</v>
      </c>
      <c r="C69" s="5"/>
      <c r="D69" s="5"/>
      <c r="E69" s="5"/>
      <c r="F69" s="5"/>
      <c r="G69" s="5"/>
      <c r="H69" s="5"/>
    </row>
    <row r="70" spans="2:12" ht="18.75" x14ac:dyDescent="0.3">
      <c r="B70" s="5"/>
      <c r="C70" s="5"/>
      <c r="D70" s="5"/>
      <c r="E70" s="5"/>
      <c r="F70" s="5"/>
      <c r="G70" s="5"/>
      <c r="H70" s="5"/>
    </row>
    <row r="71" spans="2:12" ht="18.75" x14ac:dyDescent="0.3">
      <c r="B71" s="5" t="s">
        <v>31</v>
      </c>
      <c r="C71" s="8">
        <f>SUM(C10)</f>
        <v>86226.889631060578</v>
      </c>
      <c r="D71" s="5"/>
      <c r="E71" s="5"/>
      <c r="F71" s="5"/>
      <c r="G71" s="5"/>
      <c r="H71" s="5"/>
    </row>
    <row r="72" spans="2:12" ht="18.75" x14ac:dyDescent="0.3">
      <c r="B72" s="5" t="s">
        <v>32</v>
      </c>
      <c r="C72" s="8">
        <f>SUM(C10)*1470</f>
        <v>126753527.75765905</v>
      </c>
      <c r="D72" s="5"/>
      <c r="E72" s="5"/>
      <c r="F72" s="5"/>
      <c r="G72" s="5"/>
      <c r="H72" s="5"/>
    </row>
    <row r="73" spans="2:12" ht="18.75" x14ac:dyDescent="0.3">
      <c r="B73" s="9"/>
      <c r="C73" s="9"/>
      <c r="D73" s="5"/>
      <c r="E73" s="5"/>
      <c r="F73" s="5"/>
      <c r="G73" s="5"/>
      <c r="H73" s="5"/>
    </row>
    <row r="74" spans="2:12" ht="18.75" x14ac:dyDescent="0.3">
      <c r="B74" s="9" t="s">
        <v>22</v>
      </c>
      <c r="C74" s="9">
        <f>SUM(C71/C72)</f>
        <v>6.8027210884353748E-4</v>
      </c>
      <c r="D74" s="5"/>
      <c r="E74" s="5"/>
      <c r="F74" s="5"/>
      <c r="G74" s="5"/>
      <c r="H74" s="5"/>
    </row>
    <row r="76" spans="2:12" ht="47.1" customHeight="1" x14ac:dyDescent="0.3">
      <c r="B76" s="318" t="s">
        <v>68</v>
      </c>
      <c r="C76" s="316"/>
      <c r="D76" s="316"/>
      <c r="E76" s="316"/>
      <c r="F76" s="316"/>
      <c r="G76" s="316"/>
      <c r="H76" s="316"/>
      <c r="I76" s="316"/>
      <c r="J76" s="316"/>
      <c r="K76" s="316"/>
      <c r="L76" s="316"/>
    </row>
    <row r="77" spans="2:12" ht="18.75" x14ac:dyDescent="0.3">
      <c r="B77" s="5" t="s">
        <v>33</v>
      </c>
      <c r="C77" s="5"/>
      <c r="D77" s="5"/>
      <c r="E77" s="5"/>
      <c r="F77" s="5"/>
      <c r="G77" s="5"/>
      <c r="H77" s="5"/>
      <c r="I77" s="5"/>
      <c r="J77" s="5"/>
      <c r="K77" s="5"/>
      <c r="L77" s="5"/>
    </row>
    <row r="78" spans="2:12" ht="18.75" x14ac:dyDescent="0.3">
      <c r="B78" s="5" t="s">
        <v>2</v>
      </c>
      <c r="C78" s="5"/>
      <c r="D78" s="5"/>
      <c r="E78" s="5"/>
      <c r="F78" s="5"/>
      <c r="G78" s="5"/>
      <c r="H78" s="5"/>
      <c r="I78" s="5"/>
      <c r="J78" s="5"/>
      <c r="K78" s="5"/>
      <c r="L78" s="5"/>
    </row>
    <row r="79" spans="2:12" ht="18.75" x14ac:dyDescent="0.3"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</row>
    <row r="80" spans="2:12" ht="18.75" x14ac:dyDescent="0.3">
      <c r="B80" s="5" t="s">
        <v>34</v>
      </c>
      <c r="C80" s="5"/>
      <c r="D80" s="5"/>
      <c r="E80" s="5"/>
      <c r="F80" s="5"/>
      <c r="G80" s="5"/>
      <c r="H80" s="5"/>
      <c r="I80" s="5"/>
      <c r="J80" s="5"/>
      <c r="K80" s="5"/>
      <c r="L80" s="5"/>
    </row>
    <row r="81" spans="2:15" ht="18.75" x14ac:dyDescent="0.3"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</row>
    <row r="82" spans="2:15" ht="42.6" customHeight="1" x14ac:dyDescent="0.3">
      <c r="B82" s="316" t="s">
        <v>69</v>
      </c>
      <c r="C82" s="319"/>
      <c r="D82" s="319"/>
      <c r="E82" s="319"/>
      <c r="F82" s="319"/>
      <c r="G82" s="319"/>
      <c r="H82" s="319"/>
      <c r="I82" s="319"/>
      <c r="J82" s="319"/>
      <c r="K82" s="319"/>
      <c r="L82" s="5"/>
    </row>
    <row r="83" spans="2:15" ht="18.75" x14ac:dyDescent="0.3"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</row>
    <row r="84" spans="2:15" ht="18.75" x14ac:dyDescent="0.3">
      <c r="B84" s="5" t="s">
        <v>35</v>
      </c>
      <c r="C84" s="8">
        <f>SUM(C103)</f>
        <v>6109229.9951999998</v>
      </c>
      <c r="D84" s="5"/>
      <c r="E84" s="5"/>
      <c r="F84" s="5"/>
      <c r="G84" s="5"/>
      <c r="H84" s="5"/>
      <c r="I84" s="5"/>
      <c r="J84" s="5"/>
      <c r="K84" s="5"/>
      <c r="L84" s="5"/>
    </row>
    <row r="85" spans="2:15" ht="18.75" x14ac:dyDescent="0.3">
      <c r="B85" s="5" t="s">
        <v>36</v>
      </c>
      <c r="C85" s="5">
        <f>SUM(E120)</f>
        <v>6.1934314066713848E-4</v>
      </c>
      <c r="D85" s="5"/>
      <c r="E85" s="5"/>
      <c r="F85" s="5"/>
      <c r="G85" s="5"/>
      <c r="H85" s="5"/>
      <c r="I85" s="5"/>
      <c r="J85" s="5"/>
      <c r="K85" s="5"/>
      <c r="L85" s="5"/>
    </row>
    <row r="86" spans="2:15" ht="18.75" x14ac:dyDescent="0.3">
      <c r="B86" s="9" t="s">
        <v>37</v>
      </c>
      <c r="C86" s="9">
        <f>SUM(C84*C85)</f>
        <v>3783.7096922850551</v>
      </c>
      <c r="D86" s="5"/>
      <c r="E86" s="5"/>
      <c r="F86" s="5"/>
      <c r="G86" s="5"/>
      <c r="H86" s="5"/>
      <c r="I86" s="5"/>
      <c r="J86" s="5"/>
      <c r="K86" s="5"/>
      <c r="L86" s="5"/>
    </row>
    <row r="89" spans="2:15" ht="41.45" customHeight="1" x14ac:dyDescent="0.3">
      <c r="B89" s="318" t="s">
        <v>70</v>
      </c>
      <c r="C89" s="317"/>
      <c r="D89" s="317"/>
      <c r="E89" s="317"/>
      <c r="F89" s="317"/>
      <c r="G89" s="317"/>
      <c r="H89" s="317"/>
      <c r="I89" s="317"/>
      <c r="J89" s="317"/>
      <c r="K89" s="317"/>
      <c r="L89" s="317"/>
      <c r="M89" s="317"/>
      <c r="N89" s="317"/>
      <c r="O89" s="317"/>
    </row>
    <row r="90" spans="2:15" ht="18.75" x14ac:dyDescent="0.3">
      <c r="B90" s="5" t="s">
        <v>387</v>
      </c>
      <c r="C90" s="5"/>
      <c r="D90" s="5"/>
      <c r="E90" s="5"/>
      <c r="F90" s="5"/>
    </row>
    <row r="91" spans="2:15" ht="18.75" x14ac:dyDescent="0.3">
      <c r="B91" s="5" t="s">
        <v>2</v>
      </c>
      <c r="C91" s="5"/>
      <c r="D91" s="5"/>
      <c r="E91" s="5"/>
      <c r="F91" s="5"/>
    </row>
    <row r="92" spans="2:15" ht="18.75" x14ac:dyDescent="0.3">
      <c r="B92" s="5"/>
      <c r="C92" s="5"/>
      <c r="D92" s="5"/>
      <c r="E92" s="5"/>
      <c r="F92" s="5"/>
    </row>
    <row r="93" spans="2:15" ht="18.75" x14ac:dyDescent="0.3">
      <c r="B93" s="5" t="s">
        <v>388</v>
      </c>
      <c r="C93" s="5"/>
      <c r="D93" s="5"/>
      <c r="E93" s="5"/>
      <c r="F93" s="5"/>
    </row>
    <row r="94" spans="2:15" ht="18.75" x14ac:dyDescent="0.3">
      <c r="B94" s="5"/>
      <c r="C94" s="5"/>
      <c r="D94" s="5"/>
      <c r="E94" s="5"/>
      <c r="F94" s="5"/>
    </row>
    <row r="95" spans="2:15" ht="18.75" x14ac:dyDescent="0.3">
      <c r="B95" s="5" t="s">
        <v>389</v>
      </c>
      <c r="C95" s="5"/>
      <c r="D95" s="5"/>
      <c r="E95" s="5"/>
      <c r="F95" s="5"/>
    </row>
    <row r="96" spans="2:15" ht="18.75" x14ac:dyDescent="0.3">
      <c r="B96" s="5"/>
      <c r="C96" s="5"/>
      <c r="D96" s="5"/>
      <c r="E96" s="5"/>
      <c r="F96" s="5"/>
    </row>
    <row r="97" spans="2:23" ht="18.75" x14ac:dyDescent="0.3">
      <c r="B97" s="5" t="s">
        <v>390</v>
      </c>
      <c r="C97" s="5"/>
      <c r="D97" s="5"/>
      <c r="E97" s="5"/>
      <c r="F97" s="5"/>
    </row>
    <row r="98" spans="2:23" ht="18.75" x14ac:dyDescent="0.3">
      <c r="B98" s="5"/>
      <c r="C98" s="5"/>
      <c r="D98" s="5"/>
      <c r="E98" s="5"/>
      <c r="F98" s="5"/>
    </row>
    <row r="99" spans="2:23" ht="18.75" x14ac:dyDescent="0.3">
      <c r="B99" s="5" t="s">
        <v>391</v>
      </c>
      <c r="C99" s="5"/>
      <c r="D99" s="5"/>
      <c r="E99" s="5"/>
      <c r="F99" s="5"/>
    </row>
    <row r="100" spans="2:23" ht="18.75" x14ac:dyDescent="0.3">
      <c r="B100" s="5"/>
      <c r="C100" s="5"/>
      <c r="D100" s="5"/>
      <c r="E100" s="5"/>
      <c r="F100" s="5"/>
    </row>
    <row r="101" spans="2:23" ht="18.75" x14ac:dyDescent="0.3">
      <c r="B101" s="5" t="s">
        <v>392</v>
      </c>
      <c r="C101" s="5"/>
      <c r="D101" s="5"/>
      <c r="E101" s="5"/>
      <c r="F101" s="5"/>
    </row>
    <row r="102" spans="2:23" ht="18.75" x14ac:dyDescent="0.3">
      <c r="B102" s="5"/>
      <c r="C102" s="5"/>
      <c r="D102" s="5"/>
      <c r="E102" s="5"/>
      <c r="F102" s="5"/>
    </row>
    <row r="103" spans="2:23" ht="18.75" x14ac:dyDescent="0.3">
      <c r="B103" s="9" t="s">
        <v>38</v>
      </c>
      <c r="C103" s="8">
        <f>SUM('[3]2024'!$F$42+'[3]2024'!$F$52+'[3]2024'!$F$85+'[3]2024'!$F$132+'[3]2024'!$F$164+'[3]2024'!$F$176+'[3]2024'!$F$195+'[3]2024'!$E$203+'[3]2024'!$F$214+'[3]2024'!$F$222+'[3]2024'!$F$282+'[3]2024'!$F$290+'[3]2024'!$F$363+'[3]2024'!$F$374+'[3]2024'!$F$391+'[3]2024'!$F$400+'[3]2024'!$F$423)-99</f>
        <v>6109229.9951999998</v>
      </c>
      <c r="D103" s="5"/>
      <c r="E103" s="5"/>
      <c r="F103" s="5"/>
    </row>
    <row r="106" spans="2:23" ht="50.85" customHeight="1" x14ac:dyDescent="0.3">
      <c r="B106" s="318" t="s">
        <v>71</v>
      </c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9"/>
    </row>
    <row r="107" spans="2:23" ht="18.75" x14ac:dyDescent="0.3">
      <c r="B107" s="5" t="s">
        <v>39</v>
      </c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2:23" ht="18.75" x14ac:dyDescent="0.3">
      <c r="B108" s="5" t="s">
        <v>2</v>
      </c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2:23" ht="18.75" x14ac:dyDescent="0.3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2:23" ht="50.85" customHeight="1" x14ac:dyDescent="0.3">
      <c r="B110" s="316" t="s">
        <v>72</v>
      </c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M110" s="317"/>
      <c r="N110" s="317"/>
      <c r="O110" s="5"/>
      <c r="P110" s="5"/>
      <c r="Q110" s="5"/>
      <c r="R110" s="5"/>
      <c r="S110" s="5"/>
      <c r="T110" s="5"/>
      <c r="U110" s="5"/>
    </row>
    <row r="111" spans="2:23" ht="18.75" x14ac:dyDescent="0.3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2:23" ht="48.95" customHeight="1" x14ac:dyDescent="0.3">
      <c r="B112" s="316" t="s">
        <v>73</v>
      </c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M112" s="317"/>
      <c r="N112" s="317"/>
      <c r="O112" s="317"/>
      <c r="P112" s="317"/>
      <c r="Q112" s="317"/>
      <c r="R112" s="317"/>
      <c r="S112" s="317"/>
      <c r="T112" s="317"/>
      <c r="U112" s="317"/>
      <c r="V112" s="317"/>
      <c r="W112" s="317"/>
    </row>
    <row r="113" spans="2:21" ht="18.75" x14ac:dyDescent="0.3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2:21" ht="18.75" x14ac:dyDescent="0.3">
      <c r="B114" s="5" t="s">
        <v>41</v>
      </c>
      <c r="C114" s="8">
        <v>92977676.739999995</v>
      </c>
      <c r="D114" s="5">
        <v>1470</v>
      </c>
      <c r="E114" s="5">
        <f>C114/D114</f>
        <v>63250.120231292516</v>
      </c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2:21" ht="18.75" x14ac:dyDescent="0.3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2:21" ht="18.75" x14ac:dyDescent="0.3">
      <c r="B116" s="5" t="s">
        <v>41</v>
      </c>
      <c r="C116" s="23">
        <f>SUM(E114*D114)</f>
        <v>92977676.739999995</v>
      </c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2:21" ht="18.75" x14ac:dyDescent="0.3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2:21" ht="18.75" x14ac:dyDescent="0.3">
      <c r="B118" s="5" t="s">
        <v>83</v>
      </c>
      <c r="C118" s="24">
        <f>SUM('[3]2024'!$F$74)</f>
        <v>9146842.0899999999</v>
      </c>
      <c r="D118" s="5"/>
      <c r="E118" s="5"/>
      <c r="F118" s="8"/>
      <c r="G118" s="1"/>
    </row>
    <row r="119" spans="2:21" ht="18.75" x14ac:dyDescent="0.3">
      <c r="B119" s="5"/>
      <c r="C119" s="5"/>
      <c r="D119" s="5"/>
      <c r="E119" s="5"/>
      <c r="F119" s="5"/>
    </row>
    <row r="120" spans="2:21" ht="18.75" x14ac:dyDescent="0.3">
      <c r="B120" s="9" t="s">
        <v>43</v>
      </c>
      <c r="C120" s="5">
        <f>SUM(E114)</f>
        <v>63250.120231292516</v>
      </c>
      <c r="D120" s="5">
        <f>SUM(C116+C118)</f>
        <v>102124518.83</v>
      </c>
      <c r="E120" s="9">
        <f>SUM(C120/D120)</f>
        <v>6.1934314066713848E-4</v>
      </c>
      <c r="F120" s="5"/>
    </row>
    <row r="122" spans="2:21" ht="18.75" x14ac:dyDescent="0.3">
      <c r="B122" s="9" t="s">
        <v>64</v>
      </c>
      <c r="C122" s="9"/>
      <c r="D122" s="9"/>
      <c r="E122" s="9"/>
      <c r="F122" s="9"/>
      <c r="G122" s="9"/>
    </row>
    <row r="123" spans="2:21" ht="18.75" x14ac:dyDescent="0.3">
      <c r="B123" s="5" t="s">
        <v>44</v>
      </c>
      <c r="C123" s="5"/>
      <c r="D123" s="5"/>
      <c r="E123" s="5"/>
      <c r="F123" s="5"/>
      <c r="G123" s="5"/>
      <c r="H123" s="5"/>
      <c r="I123" s="5"/>
    </row>
    <row r="124" spans="2:21" ht="18.75" x14ac:dyDescent="0.3">
      <c r="B124" s="5" t="s">
        <v>2</v>
      </c>
      <c r="C124" s="5"/>
      <c r="D124" s="5"/>
      <c r="E124" s="5"/>
      <c r="F124" s="5"/>
      <c r="G124" s="5"/>
      <c r="H124" s="5"/>
      <c r="I124" s="5"/>
    </row>
    <row r="125" spans="2:21" ht="18.75" x14ac:dyDescent="0.3">
      <c r="B125" s="5"/>
      <c r="C125" s="5"/>
      <c r="D125" s="5"/>
      <c r="E125" s="5"/>
      <c r="F125" s="5"/>
      <c r="G125" s="5"/>
      <c r="H125" s="5"/>
      <c r="I125" s="5"/>
    </row>
    <row r="126" spans="2:21" ht="18.75" x14ac:dyDescent="0.3">
      <c r="B126" s="5" t="s">
        <v>45</v>
      </c>
      <c r="C126" s="5"/>
      <c r="D126" s="5"/>
      <c r="E126" s="5"/>
      <c r="F126" s="5"/>
      <c r="G126" s="5"/>
      <c r="H126" s="5"/>
      <c r="I126" s="5"/>
    </row>
    <row r="127" spans="2:21" ht="18.75" x14ac:dyDescent="0.3">
      <c r="B127" s="5" t="s">
        <v>46</v>
      </c>
      <c r="C127" s="5"/>
      <c r="D127" s="5"/>
      <c r="E127" s="5"/>
      <c r="F127" s="5"/>
      <c r="G127" s="5"/>
      <c r="H127" s="5"/>
      <c r="I127" s="5"/>
    </row>
    <row r="128" spans="2:21" ht="18.75" x14ac:dyDescent="0.3">
      <c r="B128" s="5"/>
      <c r="C128" s="5"/>
      <c r="D128" s="5"/>
      <c r="E128" s="5"/>
      <c r="F128" s="5"/>
      <c r="G128" s="5"/>
      <c r="H128" s="5"/>
      <c r="I128" s="5"/>
    </row>
    <row r="129" spans="2:13" ht="18.75" x14ac:dyDescent="0.3">
      <c r="B129" s="5" t="s">
        <v>47</v>
      </c>
      <c r="C129" s="8">
        <f>SUM(C103)</f>
        <v>6109229.9951999998</v>
      </c>
      <c r="D129" s="5"/>
      <c r="E129" s="5"/>
      <c r="F129" s="5"/>
      <c r="G129" s="5"/>
      <c r="H129" s="5"/>
      <c r="I129" s="5"/>
    </row>
    <row r="130" spans="2:13" ht="18.75" x14ac:dyDescent="0.3">
      <c r="B130" s="5" t="s">
        <v>48</v>
      </c>
      <c r="C130" s="8">
        <f>SUM(C86)*1470</f>
        <v>5562053.2476590313</v>
      </c>
      <c r="D130" s="5"/>
      <c r="E130" s="5"/>
      <c r="F130" s="5"/>
      <c r="G130" s="5"/>
      <c r="H130" s="5"/>
      <c r="I130" s="5"/>
    </row>
    <row r="131" spans="2:13" ht="18.75" x14ac:dyDescent="0.3">
      <c r="B131" s="9" t="s">
        <v>49</v>
      </c>
      <c r="C131" s="14">
        <f>SUM(C129-C130)</f>
        <v>547176.74754096847</v>
      </c>
      <c r="D131" s="5"/>
      <c r="E131" s="5"/>
      <c r="F131" s="5"/>
      <c r="G131" s="5"/>
      <c r="H131" s="5"/>
      <c r="I131" s="5"/>
    </row>
    <row r="133" spans="2:13" ht="15.75" x14ac:dyDescent="0.25">
      <c r="B133" s="13"/>
      <c r="C133" s="4"/>
      <c r="D133" s="4"/>
      <c r="E133" s="4"/>
      <c r="F133" s="4"/>
      <c r="G133" s="4"/>
      <c r="H133" s="4"/>
      <c r="I133" s="4"/>
      <c r="J133" s="4"/>
    </row>
    <row r="134" spans="2:13" ht="15.75" x14ac:dyDescent="0.25">
      <c r="B134" s="13"/>
      <c r="C134" s="4"/>
      <c r="D134" s="4"/>
      <c r="E134" s="4"/>
      <c r="F134" s="4"/>
      <c r="G134" s="4"/>
      <c r="H134" s="4"/>
      <c r="I134" s="4"/>
      <c r="J134" s="4"/>
    </row>
    <row r="135" spans="2:13" ht="24" x14ac:dyDescent="0.3">
      <c r="B135" s="12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</row>
    <row r="136" spans="2:13" ht="15.75" x14ac:dyDescent="0.25">
      <c r="B136" s="13" t="s">
        <v>65</v>
      </c>
      <c r="C136" s="4"/>
      <c r="D136" s="4"/>
    </row>
    <row r="137" spans="2:13" ht="15.75" x14ac:dyDescent="0.25">
      <c r="B137" s="13" t="s">
        <v>74</v>
      </c>
      <c r="C137" s="4"/>
      <c r="D137" s="4"/>
    </row>
    <row r="142" spans="2:13" x14ac:dyDescent="0.25">
      <c r="C142">
        <v>211</v>
      </c>
      <c r="D142" s="3">
        <f>SUM(C28+C59)</f>
        <v>102124518.83</v>
      </c>
      <c r="E142" s="1">
        <f>SUM('[2]ЗАПОЛНИТЬ ЮЛЯ (2)'!E20+'[2]ЗАПОЛНИТЬ ЮЛЯ (2)'!E22+'[2]ЗАПОЛНИТЬ ЮЛЯ (2)'!E23+'[2]ЗАПОЛНИТЬ ЮЛЯ (2)'!E222+'[2]ЗАПОЛНИТЬ ЮЛЯ (2)'!E224+'[2]ЗАПОЛНИТЬ ЮЛЯ (2)'!E225)</f>
        <v>91389450</v>
      </c>
      <c r="J142" s="3">
        <f>SUM(D142-E142)</f>
        <v>10735068.829999998</v>
      </c>
    </row>
    <row r="143" spans="2:13" x14ac:dyDescent="0.25">
      <c r="B143" s="1">
        <f>SUM(D142:D143)</f>
        <v>133100663</v>
      </c>
      <c r="C143">
        <v>213</v>
      </c>
      <c r="D143" s="1">
        <f>SUM(C29+C60)</f>
        <v>30976144.169999998</v>
      </c>
      <c r="E143" s="1">
        <f>SUM('[2]ЗАПОЛНИТЬ ЮЛЯ (2)'!E21+'[2]ЗАПОЛНИТЬ ЮЛЯ (2)'!E24+'[2]ЗАПОЛНИТЬ ЮЛЯ (2)'!E223+'[2]ЗАПОЛНИТЬ ЮЛЯ (2)'!E226)</f>
        <v>27599614.000659999</v>
      </c>
      <c r="F143" s="1">
        <f>SUM(E142:E143)</f>
        <v>118989064.00066</v>
      </c>
      <c r="G143" s="1">
        <f>SUM(D142:D143)</f>
        <v>133100663</v>
      </c>
      <c r="H143">
        <v>118989064</v>
      </c>
      <c r="I143" s="1">
        <f>SUM(G143-H143)</f>
        <v>14111599</v>
      </c>
      <c r="J143" s="1">
        <f>SUM(D143-E143)</f>
        <v>3376530.1693399996</v>
      </c>
    </row>
    <row r="144" spans="2:13" x14ac:dyDescent="0.25">
      <c r="C144">
        <v>244</v>
      </c>
      <c r="D144" s="1">
        <f>SUM(C103)</f>
        <v>6109229.9951999998</v>
      </c>
      <c r="G144">
        <v>6105229</v>
      </c>
      <c r="H144" s="1">
        <f>SUM(D144-G144)</f>
        <v>4000.995199999772</v>
      </c>
    </row>
    <row r="145" spans="4:10" x14ac:dyDescent="0.25">
      <c r="D145" s="1">
        <f>SUM(D142:D144)</f>
        <v>139209892.99520001</v>
      </c>
      <c r="E145">
        <v>14000000</v>
      </c>
      <c r="F145" s="1">
        <f>252607+100</f>
        <v>252707</v>
      </c>
      <c r="G145" s="1">
        <f>SUM(D145-E145+F145)</f>
        <v>125462599.99520001</v>
      </c>
    </row>
    <row r="146" spans="4:10" x14ac:dyDescent="0.25">
      <c r="D146" s="2">
        <v>125094293</v>
      </c>
    </row>
    <row r="147" spans="4:10" x14ac:dyDescent="0.25">
      <c r="D147" s="1">
        <f>SUM(D145-D146)</f>
        <v>14115599.995200008</v>
      </c>
      <c r="G147" s="1">
        <f>SUM(G145+G146)</f>
        <v>125462599.99520001</v>
      </c>
      <c r="J147" s="1"/>
    </row>
  </sheetData>
  <mergeCells count="14">
    <mergeCell ref="B55:T55"/>
    <mergeCell ref="B16:K16"/>
    <mergeCell ref="B21:K21"/>
    <mergeCell ref="B23:K23"/>
    <mergeCell ref="B39:J39"/>
    <mergeCell ref="B53:L53"/>
    <mergeCell ref="B110:N110"/>
    <mergeCell ref="B112:W112"/>
    <mergeCell ref="B57:M57"/>
    <mergeCell ref="B65:K65"/>
    <mergeCell ref="B76:L76"/>
    <mergeCell ref="B82:K82"/>
    <mergeCell ref="B89:O89"/>
    <mergeCell ref="B106:O106"/>
  </mergeCells>
  <pageMargins left="0.78740157480314965" right="0" top="0" bottom="0" header="0" footer="0"/>
  <pageSetup paperSize="9" scale="62" orientation="landscape" r:id="rId1"/>
  <rowBreaks count="2" manualBreakCount="2">
    <brk id="34" max="10" man="1"/>
    <brk id="75" max="10" man="1"/>
  </rowBreaks>
  <colBreaks count="1" manualBreakCount="1">
    <brk id="34" max="1048575" man="1"/>
  </col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Z404"/>
  <sheetViews>
    <sheetView tabSelected="1" view="pageBreakPreview" zoomScale="78" zoomScaleNormal="100" zoomScaleSheetLayoutView="78" workbookViewId="0">
      <selection activeCell="I407" sqref="I407"/>
    </sheetView>
  </sheetViews>
  <sheetFormatPr defaultColWidth="9.140625" defaultRowHeight="34.5" customHeight="1" x14ac:dyDescent="0.25"/>
  <cols>
    <col min="2" max="2" width="45.28515625" customWidth="1"/>
    <col min="3" max="3" width="20" customWidth="1"/>
    <col min="4" max="4" width="23.28515625" customWidth="1"/>
    <col min="5" max="5" width="17" customWidth="1"/>
    <col min="6" max="6" width="19.5703125" customWidth="1"/>
    <col min="7" max="8" width="19" customWidth="1"/>
    <col min="9" max="9" width="18.7109375" customWidth="1"/>
    <col min="10" max="10" width="10.140625" customWidth="1"/>
    <col min="11" max="11" width="15.5703125" customWidth="1"/>
  </cols>
  <sheetData>
    <row r="1" spans="2:26" ht="34.5" customHeight="1" x14ac:dyDescent="0.3">
      <c r="B1" s="318" t="s">
        <v>347</v>
      </c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17"/>
      <c r="O1" s="317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2:26" ht="34.5" customHeight="1" x14ac:dyDescent="0.3">
      <c r="C2" s="9" t="s">
        <v>382</v>
      </c>
    </row>
    <row r="3" spans="2:26" ht="34.5" customHeight="1" x14ac:dyDescent="0.3">
      <c r="C3" s="9"/>
    </row>
    <row r="4" spans="2:26" ht="34.5" customHeight="1" x14ac:dyDescent="0.25">
      <c r="B4" s="324" t="s">
        <v>349</v>
      </c>
      <c r="C4" s="324"/>
      <c r="D4" s="324"/>
      <c r="E4" s="324"/>
      <c r="F4" s="324"/>
      <c r="G4" s="324"/>
      <c r="H4" s="324"/>
      <c r="I4" s="324"/>
      <c r="J4" s="324"/>
      <c r="K4" s="6"/>
      <c r="L4" s="6"/>
      <c r="M4" s="6"/>
      <c r="N4" s="6"/>
      <c r="O4" s="6"/>
    </row>
    <row r="5" spans="2:26" ht="34.5" customHeight="1" x14ac:dyDescent="0.25">
      <c r="B5" s="324" t="s">
        <v>362</v>
      </c>
      <c r="C5" s="324"/>
      <c r="D5" s="324"/>
      <c r="E5" s="324"/>
      <c r="F5" s="324"/>
      <c r="G5" s="324"/>
      <c r="H5" s="324"/>
      <c r="I5" s="324"/>
      <c r="J5" s="324"/>
      <c r="K5" s="6"/>
      <c r="L5" s="6"/>
      <c r="M5" s="6"/>
      <c r="N5" s="6"/>
      <c r="O5" s="6"/>
    </row>
    <row r="7" spans="2:26" ht="34.5" customHeight="1" x14ac:dyDescent="0.25">
      <c r="B7" s="46" t="s">
        <v>101</v>
      </c>
      <c r="C7" s="47" t="s">
        <v>102</v>
      </c>
      <c r="D7" s="47" t="s">
        <v>103</v>
      </c>
      <c r="E7" s="47" t="s">
        <v>104</v>
      </c>
      <c r="F7" s="15"/>
    </row>
    <row r="8" spans="2:26" ht="112.35" customHeight="1" x14ac:dyDescent="0.25">
      <c r="B8" s="48" t="s">
        <v>368</v>
      </c>
      <c r="C8" s="49">
        <f>SUM([2]Лист7!A2)</f>
        <v>70970276.390000001</v>
      </c>
      <c r="D8" s="49">
        <v>4908057.2699999996</v>
      </c>
      <c r="E8" s="49">
        <f t="shared" ref="E8:E14" si="0">SUM(C8:D8)</f>
        <v>75878333.659999996</v>
      </c>
      <c r="F8" s="15"/>
      <c r="G8" s="1"/>
      <c r="H8" s="1"/>
      <c r="I8" s="1"/>
    </row>
    <row r="9" spans="2:26" ht="99.2" customHeight="1" x14ac:dyDescent="0.25">
      <c r="B9" s="48" t="s">
        <v>369</v>
      </c>
      <c r="C9" s="49">
        <f>SUM([2]Лист7!G2)</f>
        <v>21298484.079779997</v>
      </c>
      <c r="D9" s="49">
        <f>1460221.27</f>
        <v>1460221.27</v>
      </c>
      <c r="E9" s="49">
        <f t="shared" si="0"/>
        <v>22758705.349779997</v>
      </c>
      <c r="F9" s="15"/>
      <c r="G9" s="1"/>
      <c r="H9" s="1"/>
      <c r="I9" s="1"/>
    </row>
    <row r="10" spans="2:26" ht="34.5" customHeight="1" x14ac:dyDescent="0.25">
      <c r="B10" s="219" t="s">
        <v>351</v>
      </c>
      <c r="C10" s="49">
        <v>14082543.74</v>
      </c>
      <c r="D10" s="49"/>
      <c r="E10" s="49">
        <f t="shared" si="0"/>
        <v>14082543.74</v>
      </c>
      <c r="F10" s="51"/>
      <c r="G10" s="1"/>
      <c r="H10" s="1"/>
      <c r="I10" s="1"/>
    </row>
    <row r="11" spans="2:26" ht="34.5" customHeight="1" x14ac:dyDescent="0.25">
      <c r="B11" s="50" t="s">
        <v>105</v>
      </c>
      <c r="C11" s="49"/>
      <c r="D11" s="49">
        <f>3120132.21+15364.39-118697.26-0.86</f>
        <v>3016798.4800000004</v>
      </c>
      <c r="E11" s="49">
        <f t="shared" si="0"/>
        <v>3016798.4800000004</v>
      </c>
      <c r="F11" s="15"/>
      <c r="G11" s="1"/>
    </row>
    <row r="12" spans="2:26" ht="34.5" customHeight="1" x14ac:dyDescent="0.25">
      <c r="B12" s="50" t="s">
        <v>106</v>
      </c>
      <c r="C12" s="49">
        <v>4387467.5999999996</v>
      </c>
      <c r="D12" s="49">
        <f>948927.56-0.2+118697.46+0.86</f>
        <v>1067625.6800000002</v>
      </c>
      <c r="E12" s="49">
        <f t="shared" si="0"/>
        <v>5455093.2799999993</v>
      </c>
      <c r="F12" s="251"/>
      <c r="G12" s="173"/>
      <c r="H12" s="1"/>
    </row>
    <row r="13" spans="2:26" ht="34.5" customHeight="1" x14ac:dyDescent="0.25">
      <c r="B13" s="50"/>
      <c r="C13" s="49"/>
      <c r="D13" s="49"/>
      <c r="E13" s="49">
        <f t="shared" si="0"/>
        <v>0</v>
      </c>
      <c r="F13" s="51"/>
    </row>
    <row r="14" spans="2:26" ht="34.5" customHeight="1" x14ac:dyDescent="0.25">
      <c r="B14" s="50"/>
      <c r="C14" s="52">
        <f>SUM(C8:C13)</f>
        <v>110738771.80977999</v>
      </c>
      <c r="D14" s="52">
        <f>SUM(D8:D13)</f>
        <v>10452702.699999999</v>
      </c>
      <c r="E14" s="52">
        <f t="shared" si="0"/>
        <v>121191474.50977999</v>
      </c>
      <c r="F14" s="51"/>
      <c r="H14" s="1"/>
      <c r="I14" s="1">
        <f>SUM('расчет подушевого 2024'!C28:C29)</f>
        <v>121191474.50999999</v>
      </c>
    </row>
    <row r="15" spans="2:26" ht="34.5" customHeight="1" x14ac:dyDescent="0.25">
      <c r="B15" s="324" t="s">
        <v>379</v>
      </c>
      <c r="C15" s="317"/>
      <c r="D15" s="317"/>
      <c r="E15" s="317"/>
      <c r="F15" s="317"/>
      <c r="G15" s="317"/>
      <c r="H15" s="317"/>
      <c r="I15" s="317"/>
      <c r="J15" s="317"/>
      <c r="K15" s="317"/>
    </row>
    <row r="16" spans="2:26" ht="34.5" customHeight="1" thickBot="1" x14ac:dyDescent="0.3"/>
    <row r="17" spans="2:7" ht="34.5" customHeight="1" thickBot="1" x14ac:dyDescent="0.3">
      <c r="B17" s="53" t="s">
        <v>107</v>
      </c>
      <c r="C17" s="53" t="s">
        <v>108</v>
      </c>
      <c r="D17" s="53" t="s">
        <v>109</v>
      </c>
      <c r="E17" s="252" t="s">
        <v>110</v>
      </c>
      <c r="F17" s="253" t="s">
        <v>111</v>
      </c>
      <c r="G17" s="54"/>
    </row>
    <row r="18" spans="2:7" ht="34.5" customHeight="1" x14ac:dyDescent="0.25">
      <c r="B18" s="326" t="s">
        <v>112</v>
      </c>
      <c r="C18" s="326"/>
      <c r="D18" s="56"/>
      <c r="E18" s="56"/>
      <c r="F18" s="252"/>
      <c r="G18" s="54"/>
    </row>
    <row r="19" spans="2:7" ht="34.5" customHeight="1" x14ac:dyDescent="0.25">
      <c r="B19" s="57" t="s">
        <v>113</v>
      </c>
      <c r="C19" s="57" t="s">
        <v>114</v>
      </c>
      <c r="D19" s="57">
        <v>35</v>
      </c>
      <c r="E19" s="58">
        <v>4766.67</v>
      </c>
      <c r="F19" s="59">
        <f t="shared" ref="F19:F28" si="1">D19*E19</f>
        <v>166833.45000000001</v>
      </c>
      <c r="G19" s="60"/>
    </row>
    <row r="20" spans="2:7" ht="34.5" customHeight="1" x14ac:dyDescent="0.25">
      <c r="B20" s="57" t="s">
        <v>115</v>
      </c>
      <c r="C20" s="57" t="s">
        <v>114</v>
      </c>
      <c r="D20" s="57">
        <v>156</v>
      </c>
      <c r="E20" s="58">
        <v>470</v>
      </c>
      <c r="F20" s="59">
        <f t="shared" si="1"/>
        <v>73320</v>
      </c>
      <c r="G20" s="60"/>
    </row>
    <row r="21" spans="2:7" ht="34.5" customHeight="1" x14ac:dyDescent="0.25">
      <c r="B21" s="57" t="s">
        <v>116</v>
      </c>
      <c r="C21" s="57" t="s">
        <v>114</v>
      </c>
      <c r="D21" s="57">
        <v>53</v>
      </c>
      <c r="E21" s="58">
        <v>3433.33</v>
      </c>
      <c r="F21" s="59">
        <f t="shared" si="1"/>
        <v>181966.49</v>
      </c>
      <c r="G21" s="60"/>
    </row>
    <row r="22" spans="2:7" ht="34.5" customHeight="1" x14ac:dyDescent="0.25">
      <c r="B22" s="57" t="s">
        <v>117</v>
      </c>
      <c r="C22" s="57" t="s">
        <v>114</v>
      </c>
      <c r="D22" s="57">
        <v>139</v>
      </c>
      <c r="E22" s="58">
        <v>1900</v>
      </c>
      <c r="F22" s="59">
        <f t="shared" si="1"/>
        <v>264100</v>
      </c>
      <c r="G22" s="60"/>
    </row>
    <row r="23" spans="2:7" ht="34.5" customHeight="1" x14ac:dyDescent="0.25">
      <c r="B23" s="57" t="s">
        <v>118</v>
      </c>
      <c r="C23" s="57" t="s">
        <v>114</v>
      </c>
      <c r="D23" s="57">
        <v>59</v>
      </c>
      <c r="E23" s="58">
        <v>656.67</v>
      </c>
      <c r="F23" s="59">
        <f t="shared" si="1"/>
        <v>38743.53</v>
      </c>
      <c r="G23" s="60"/>
    </row>
    <row r="24" spans="2:7" ht="34.5" customHeight="1" x14ac:dyDescent="0.25">
      <c r="B24" s="57" t="s">
        <v>119</v>
      </c>
      <c r="C24" s="57" t="s">
        <v>114</v>
      </c>
      <c r="D24" s="57">
        <v>189</v>
      </c>
      <c r="E24" s="58">
        <v>276.67</v>
      </c>
      <c r="F24" s="59">
        <f t="shared" si="1"/>
        <v>52290.630000000005</v>
      </c>
      <c r="G24" s="60"/>
    </row>
    <row r="25" spans="2:7" ht="34.5" customHeight="1" x14ac:dyDescent="0.25">
      <c r="B25" s="57" t="s">
        <v>120</v>
      </c>
      <c r="C25" s="57" t="s">
        <v>114</v>
      </c>
      <c r="D25" s="57">
        <v>51</v>
      </c>
      <c r="E25" s="58">
        <v>360</v>
      </c>
      <c r="F25" s="59">
        <f t="shared" si="1"/>
        <v>18360</v>
      </c>
      <c r="G25" s="60"/>
    </row>
    <row r="26" spans="2:7" ht="34.5" customHeight="1" x14ac:dyDescent="0.25">
      <c r="B26" s="57" t="s">
        <v>121</v>
      </c>
      <c r="C26" s="57" t="s">
        <v>114</v>
      </c>
      <c r="D26" s="57">
        <v>365</v>
      </c>
      <c r="E26" s="58">
        <v>293.33</v>
      </c>
      <c r="F26" s="59">
        <f t="shared" si="1"/>
        <v>107065.45</v>
      </c>
      <c r="G26" s="60"/>
    </row>
    <row r="27" spans="2:7" ht="34.5" customHeight="1" x14ac:dyDescent="0.25">
      <c r="B27" s="57" t="s">
        <v>122</v>
      </c>
      <c r="C27" s="57" t="s">
        <v>114</v>
      </c>
      <c r="D27" s="57">
        <v>179</v>
      </c>
      <c r="E27" s="58">
        <v>2066.67</v>
      </c>
      <c r="F27" s="59">
        <f t="shared" si="1"/>
        <v>369933.93</v>
      </c>
      <c r="G27" s="60"/>
    </row>
    <row r="28" spans="2:7" ht="34.5" customHeight="1" x14ac:dyDescent="0.25">
      <c r="B28" s="57" t="s">
        <v>123</v>
      </c>
      <c r="C28" s="57" t="s">
        <v>114</v>
      </c>
      <c r="D28" s="57">
        <v>180</v>
      </c>
      <c r="E28" s="58">
        <v>780</v>
      </c>
      <c r="F28" s="59">
        <f t="shared" si="1"/>
        <v>140400</v>
      </c>
      <c r="G28" s="60"/>
    </row>
    <row r="29" spans="2:7" ht="34.5" customHeight="1" x14ac:dyDescent="0.25">
      <c r="B29" s="61"/>
      <c r="C29" s="62"/>
      <c r="D29" s="57"/>
      <c r="E29" s="58"/>
      <c r="F29" s="63">
        <f>SUM(F19:F28)</f>
        <v>1413013.48</v>
      </c>
      <c r="G29" s="60"/>
    </row>
    <row r="30" spans="2:7" ht="34.5" customHeight="1" x14ac:dyDescent="0.25">
      <c r="B30" s="326" t="s">
        <v>124</v>
      </c>
      <c r="C30" s="326"/>
      <c r="D30" s="57"/>
      <c r="E30" s="58"/>
      <c r="F30" s="59"/>
      <c r="G30" s="60"/>
    </row>
    <row r="31" spans="2:7" ht="34.5" customHeight="1" x14ac:dyDescent="0.25">
      <c r="B31" s="64" t="s">
        <v>125</v>
      </c>
      <c r="C31" s="65" t="s">
        <v>114</v>
      </c>
      <c r="D31" s="66">
        <v>1</v>
      </c>
      <c r="E31" s="67">
        <v>3295</v>
      </c>
      <c r="F31" s="59">
        <f>D31*E31</f>
        <v>3295</v>
      </c>
      <c r="G31" s="60"/>
    </row>
    <row r="32" spans="2:7" ht="34.5" customHeight="1" x14ac:dyDescent="0.25">
      <c r="B32" s="68" t="s">
        <v>126</v>
      </c>
      <c r="C32" s="65" t="s">
        <v>114</v>
      </c>
      <c r="D32" s="66">
        <v>1</v>
      </c>
      <c r="E32" s="67">
        <v>350</v>
      </c>
      <c r="F32" s="59">
        <f>D32*E32</f>
        <v>350</v>
      </c>
      <c r="G32" s="60"/>
    </row>
    <row r="33" spans="2:8" ht="34.5" customHeight="1" x14ac:dyDescent="0.25">
      <c r="B33" s="57"/>
      <c r="C33" s="57"/>
      <c r="D33" s="57"/>
      <c r="E33" s="58"/>
      <c r="F33" s="63">
        <f>SUM(F31:F32)</f>
        <v>3645</v>
      </c>
      <c r="G33" s="60"/>
    </row>
    <row r="34" spans="2:8" ht="34.5" customHeight="1" x14ac:dyDescent="0.25">
      <c r="B34" s="337" t="s">
        <v>104</v>
      </c>
      <c r="C34" s="337"/>
      <c r="D34" s="57"/>
      <c r="E34" s="57"/>
      <c r="F34" s="63">
        <f>SUM(F29+F33)</f>
        <v>1416658.48</v>
      </c>
      <c r="G34" s="69"/>
    </row>
    <row r="35" spans="2:8" ht="34.5" customHeight="1" x14ac:dyDescent="0.25">
      <c r="B35" s="326" t="s">
        <v>112</v>
      </c>
      <c r="C35" s="326"/>
      <c r="D35" s="71"/>
      <c r="F35" s="71"/>
      <c r="G35" s="72"/>
    </row>
    <row r="36" spans="2:8" ht="34.5" customHeight="1" x14ac:dyDescent="0.25">
      <c r="B36" s="73"/>
      <c r="C36" s="74"/>
      <c r="D36" s="75"/>
      <c r="E36" s="76"/>
      <c r="F36" s="76"/>
      <c r="G36" s="77"/>
    </row>
    <row r="37" spans="2:8" ht="34.5" customHeight="1" x14ac:dyDescent="0.25">
      <c r="B37" s="73" t="s">
        <v>130</v>
      </c>
      <c r="C37" s="74" t="s">
        <v>114</v>
      </c>
      <c r="D37" s="75">
        <v>60</v>
      </c>
      <c r="E37" s="76">
        <v>15.34</v>
      </c>
      <c r="F37" s="76">
        <f t="shared" ref="F37:F63" si="2">D37*E37</f>
        <v>920.4</v>
      </c>
      <c r="G37" s="77"/>
    </row>
    <row r="38" spans="2:8" ht="34.5" customHeight="1" x14ac:dyDescent="0.25">
      <c r="B38" s="73" t="s">
        <v>131</v>
      </c>
      <c r="C38" s="74" t="s">
        <v>114</v>
      </c>
      <c r="D38" s="75">
        <v>1308</v>
      </c>
      <c r="E38" s="76">
        <v>6.59</v>
      </c>
      <c r="F38" s="76">
        <f t="shared" si="2"/>
        <v>8619.7199999999993</v>
      </c>
      <c r="G38" s="77"/>
    </row>
    <row r="39" spans="2:8" ht="34.5" customHeight="1" x14ac:dyDescent="0.25">
      <c r="B39" s="73" t="s">
        <v>132</v>
      </c>
      <c r="C39" s="74" t="s">
        <v>114</v>
      </c>
      <c r="D39" s="75">
        <v>2010</v>
      </c>
      <c r="E39" s="76">
        <v>4.0999999999999996</v>
      </c>
      <c r="F39" s="76">
        <f t="shared" si="2"/>
        <v>8241</v>
      </c>
      <c r="G39" s="77"/>
    </row>
    <row r="40" spans="2:8" ht="34.5" customHeight="1" x14ac:dyDescent="0.25">
      <c r="B40" s="73" t="s">
        <v>133</v>
      </c>
      <c r="C40" s="74" t="s">
        <v>114</v>
      </c>
      <c r="D40" s="75">
        <v>922</v>
      </c>
      <c r="E40" s="76">
        <v>7.43</v>
      </c>
      <c r="F40" s="76">
        <f t="shared" si="2"/>
        <v>6850.46</v>
      </c>
      <c r="G40" s="77"/>
    </row>
    <row r="41" spans="2:8" ht="34.5" customHeight="1" x14ac:dyDescent="0.25">
      <c r="B41" s="73" t="s">
        <v>134</v>
      </c>
      <c r="C41" s="74" t="s">
        <v>114</v>
      </c>
      <c r="D41" s="75">
        <v>224</v>
      </c>
      <c r="E41" s="76">
        <v>54.29</v>
      </c>
      <c r="F41" s="76">
        <f t="shared" si="2"/>
        <v>12160.96</v>
      </c>
      <c r="G41" s="77"/>
    </row>
    <row r="42" spans="2:8" ht="34.5" customHeight="1" x14ac:dyDescent="0.25">
      <c r="B42" s="73" t="s">
        <v>135</v>
      </c>
      <c r="C42" s="74" t="s">
        <v>114</v>
      </c>
      <c r="D42" s="75">
        <v>209</v>
      </c>
      <c r="E42" s="76">
        <v>8.08</v>
      </c>
      <c r="F42" s="76">
        <f t="shared" si="2"/>
        <v>1688.72</v>
      </c>
      <c r="G42" s="77"/>
    </row>
    <row r="43" spans="2:8" ht="34.5" customHeight="1" x14ac:dyDescent="0.25">
      <c r="B43" s="73" t="s">
        <v>136</v>
      </c>
      <c r="C43" s="74" t="s">
        <v>114</v>
      </c>
      <c r="D43" s="75">
        <v>30</v>
      </c>
      <c r="E43" s="76">
        <v>17.98</v>
      </c>
      <c r="F43" s="76">
        <f t="shared" si="2"/>
        <v>539.4</v>
      </c>
      <c r="G43" s="77"/>
    </row>
    <row r="44" spans="2:8" ht="34.5" customHeight="1" x14ac:dyDescent="0.25">
      <c r="B44" s="73" t="s">
        <v>137</v>
      </c>
      <c r="C44" s="74" t="s">
        <v>114</v>
      </c>
      <c r="D44" s="75">
        <v>145</v>
      </c>
      <c r="E44" s="76">
        <v>44.71</v>
      </c>
      <c r="F44" s="76">
        <f t="shared" si="2"/>
        <v>6482.95</v>
      </c>
      <c r="G44" s="77"/>
    </row>
    <row r="45" spans="2:8" ht="34.5" customHeight="1" x14ac:dyDescent="0.25">
      <c r="B45" s="73" t="s">
        <v>138</v>
      </c>
      <c r="C45" s="74" t="s">
        <v>114</v>
      </c>
      <c r="D45" s="75">
        <v>5870</v>
      </c>
      <c r="E45" s="76">
        <v>12.98</v>
      </c>
      <c r="F45" s="76">
        <f t="shared" si="2"/>
        <v>76192.600000000006</v>
      </c>
      <c r="G45" s="77"/>
    </row>
    <row r="46" spans="2:8" ht="34.5" customHeight="1" x14ac:dyDescent="0.25">
      <c r="B46" s="73" t="s">
        <v>139</v>
      </c>
      <c r="C46" s="74" t="s">
        <v>114</v>
      </c>
      <c r="D46" s="75">
        <v>1045</v>
      </c>
      <c r="E46" s="76">
        <v>4.97</v>
      </c>
      <c r="F46" s="76">
        <f t="shared" si="2"/>
        <v>5193.6499999999996</v>
      </c>
      <c r="G46" s="77"/>
    </row>
    <row r="47" spans="2:8" ht="34.5" customHeight="1" x14ac:dyDescent="0.25">
      <c r="B47" s="73" t="s">
        <v>140</v>
      </c>
      <c r="C47" s="74" t="s">
        <v>114</v>
      </c>
      <c r="D47" s="75">
        <v>772</v>
      </c>
      <c r="E47" s="76">
        <v>73.25</v>
      </c>
      <c r="F47" s="76">
        <f t="shared" si="2"/>
        <v>56549</v>
      </c>
      <c r="G47" s="77"/>
    </row>
    <row r="48" spans="2:8" ht="34.5" customHeight="1" x14ac:dyDescent="0.25">
      <c r="B48" s="73" t="s">
        <v>141</v>
      </c>
      <c r="C48" s="74" t="s">
        <v>114</v>
      </c>
      <c r="D48" s="75">
        <v>193</v>
      </c>
      <c r="E48" s="76">
        <v>35.450000000000003</v>
      </c>
      <c r="F48" s="76">
        <f t="shared" si="2"/>
        <v>6841.85</v>
      </c>
      <c r="G48" s="77"/>
      <c r="H48" s="78"/>
    </row>
    <row r="49" spans="2:8" ht="34.5" customHeight="1" x14ac:dyDescent="0.25">
      <c r="B49" s="73" t="s">
        <v>142</v>
      </c>
      <c r="C49" s="74" t="s">
        <v>114</v>
      </c>
      <c r="D49" s="75">
        <v>772</v>
      </c>
      <c r="E49" s="76">
        <v>56</v>
      </c>
      <c r="F49" s="76">
        <f t="shared" si="2"/>
        <v>43232</v>
      </c>
      <c r="G49" s="77"/>
      <c r="H49" s="78"/>
    </row>
    <row r="50" spans="2:8" ht="34.5" customHeight="1" x14ac:dyDescent="0.25">
      <c r="B50" s="73" t="s">
        <v>143</v>
      </c>
      <c r="C50" s="74" t="s">
        <v>114</v>
      </c>
      <c r="D50" s="75">
        <v>466</v>
      </c>
      <c r="E50" s="76">
        <v>32.619999999999997</v>
      </c>
      <c r="F50" s="76">
        <f t="shared" si="2"/>
        <v>15200.919999999998</v>
      </c>
      <c r="G50" s="77"/>
    </row>
    <row r="51" spans="2:8" ht="34.5" customHeight="1" x14ac:dyDescent="0.25">
      <c r="B51" s="73" t="s">
        <v>144</v>
      </c>
      <c r="C51" s="74" t="s">
        <v>114</v>
      </c>
      <c r="D51" s="75">
        <v>209</v>
      </c>
      <c r="E51" s="76">
        <v>48.07</v>
      </c>
      <c r="F51" s="76">
        <f t="shared" si="2"/>
        <v>10046.629999999999</v>
      </c>
      <c r="G51" s="77"/>
    </row>
    <row r="52" spans="2:8" ht="34.5" customHeight="1" x14ac:dyDescent="0.25">
      <c r="B52" s="73" t="s">
        <v>145</v>
      </c>
      <c r="C52" s="74" t="s">
        <v>114</v>
      </c>
      <c r="D52" s="75">
        <v>273</v>
      </c>
      <c r="E52" s="76">
        <v>9.42</v>
      </c>
      <c r="F52" s="76">
        <f t="shared" si="2"/>
        <v>2571.66</v>
      </c>
      <c r="G52" s="77"/>
    </row>
    <row r="53" spans="2:8" ht="34.5" customHeight="1" x14ac:dyDescent="0.25">
      <c r="B53" s="73" t="s">
        <v>146</v>
      </c>
      <c r="C53" s="74" t="s">
        <v>114</v>
      </c>
      <c r="D53" s="75">
        <v>50</v>
      </c>
      <c r="E53" s="76">
        <v>248.69</v>
      </c>
      <c r="F53" s="76">
        <f t="shared" si="2"/>
        <v>12434.5</v>
      </c>
      <c r="G53" s="77"/>
    </row>
    <row r="54" spans="2:8" ht="34.5" customHeight="1" x14ac:dyDescent="0.25">
      <c r="B54" s="73" t="s">
        <v>147</v>
      </c>
      <c r="C54" s="74" t="s">
        <v>114</v>
      </c>
      <c r="D54" s="75">
        <v>16</v>
      </c>
      <c r="E54" s="76">
        <v>122.5</v>
      </c>
      <c r="F54" s="76">
        <f t="shared" si="2"/>
        <v>1960</v>
      </c>
      <c r="G54" s="77"/>
    </row>
    <row r="55" spans="2:8" ht="34.5" customHeight="1" x14ac:dyDescent="0.25">
      <c r="B55" s="73" t="s">
        <v>148</v>
      </c>
      <c r="C55" s="74" t="s">
        <v>114</v>
      </c>
      <c r="D55" s="75">
        <v>13</v>
      </c>
      <c r="E55" s="76">
        <v>24.86</v>
      </c>
      <c r="F55" s="76">
        <f t="shared" si="2"/>
        <v>323.18</v>
      </c>
      <c r="G55" s="77"/>
    </row>
    <row r="56" spans="2:8" ht="34.5" customHeight="1" x14ac:dyDescent="0.25">
      <c r="B56" s="73" t="s">
        <v>149</v>
      </c>
      <c r="C56" s="74" t="s">
        <v>150</v>
      </c>
      <c r="D56" s="75">
        <v>17</v>
      </c>
      <c r="E56" s="76">
        <v>64.69</v>
      </c>
      <c r="F56" s="76">
        <f t="shared" si="2"/>
        <v>1099.73</v>
      </c>
      <c r="G56" s="77"/>
    </row>
    <row r="57" spans="2:8" ht="34.5" customHeight="1" x14ac:dyDescent="0.25">
      <c r="B57" s="73" t="s">
        <v>149</v>
      </c>
      <c r="C57" s="74" t="s">
        <v>150</v>
      </c>
      <c r="D57" s="75">
        <v>17</v>
      </c>
      <c r="E57" s="76">
        <v>80.599999999999994</v>
      </c>
      <c r="F57" s="76">
        <f t="shared" si="2"/>
        <v>1370.1999999999998</v>
      </c>
      <c r="G57" s="77"/>
    </row>
    <row r="58" spans="2:8" ht="34.5" customHeight="1" x14ac:dyDescent="0.25">
      <c r="B58" s="73" t="s">
        <v>149</v>
      </c>
      <c r="C58" s="74" t="s">
        <v>150</v>
      </c>
      <c r="D58" s="75">
        <v>29</v>
      </c>
      <c r="E58" s="76">
        <v>162.02000000000001</v>
      </c>
      <c r="F58" s="76">
        <f t="shared" si="2"/>
        <v>4698.58</v>
      </c>
      <c r="G58" s="77"/>
    </row>
    <row r="59" spans="2:8" ht="34.5" customHeight="1" x14ac:dyDescent="0.25">
      <c r="B59" s="73" t="s">
        <v>151</v>
      </c>
      <c r="C59" s="74" t="s">
        <v>114</v>
      </c>
      <c r="D59" s="75">
        <v>15</v>
      </c>
      <c r="E59" s="76">
        <v>101.81</v>
      </c>
      <c r="F59" s="76">
        <f t="shared" si="2"/>
        <v>1527.15</v>
      </c>
      <c r="G59" s="77"/>
      <c r="H59" s="78"/>
    </row>
    <row r="60" spans="2:8" ht="34.5" customHeight="1" x14ac:dyDescent="0.25">
      <c r="B60" s="73" t="s">
        <v>152</v>
      </c>
      <c r="C60" s="74" t="s">
        <v>150</v>
      </c>
      <c r="D60" s="75">
        <v>15</v>
      </c>
      <c r="E60" s="76">
        <v>74.02</v>
      </c>
      <c r="F60" s="76">
        <f t="shared" si="2"/>
        <v>1110.3</v>
      </c>
      <c r="G60" s="77"/>
      <c r="H60" s="78"/>
    </row>
    <row r="61" spans="2:8" ht="34.5" customHeight="1" x14ac:dyDescent="0.25">
      <c r="B61" s="73" t="s">
        <v>153</v>
      </c>
      <c r="C61" s="74" t="s">
        <v>150</v>
      </c>
      <c r="D61" s="75">
        <v>75</v>
      </c>
      <c r="E61" s="76">
        <v>21.35</v>
      </c>
      <c r="F61" s="76">
        <f t="shared" si="2"/>
        <v>1601.25</v>
      </c>
      <c r="G61" s="77"/>
      <c r="H61" s="78"/>
    </row>
    <row r="62" spans="2:8" ht="34.5" customHeight="1" x14ac:dyDescent="0.25">
      <c r="B62" s="73" t="s">
        <v>154</v>
      </c>
      <c r="C62" s="74" t="s">
        <v>150</v>
      </c>
      <c r="D62" s="75">
        <v>3</v>
      </c>
      <c r="E62" s="76">
        <v>188.91</v>
      </c>
      <c r="F62" s="76">
        <f t="shared" si="2"/>
        <v>566.73</v>
      </c>
      <c r="G62" s="77"/>
      <c r="H62" s="78"/>
    </row>
    <row r="63" spans="2:8" ht="34.5" customHeight="1" x14ac:dyDescent="0.25">
      <c r="B63" s="73" t="s">
        <v>155</v>
      </c>
      <c r="C63" s="74" t="s">
        <v>114</v>
      </c>
      <c r="D63" s="75">
        <v>147</v>
      </c>
      <c r="E63" s="76">
        <v>322.49</v>
      </c>
      <c r="F63" s="76">
        <f t="shared" si="2"/>
        <v>47406.03</v>
      </c>
      <c r="G63" s="77"/>
      <c r="H63" s="78"/>
    </row>
    <row r="64" spans="2:8" ht="34.5" customHeight="1" x14ac:dyDescent="0.25">
      <c r="B64" s="46" t="s">
        <v>156</v>
      </c>
      <c r="C64" s="79"/>
      <c r="D64" s="79"/>
      <c r="E64" s="79"/>
      <c r="F64" s="80">
        <f>SUM(F36:F63)</f>
        <v>335429.57000000007</v>
      </c>
      <c r="G64" s="81"/>
    </row>
    <row r="65" spans="2:8" ht="34.5" customHeight="1" x14ac:dyDescent="0.25">
      <c r="B65" s="326" t="s">
        <v>124</v>
      </c>
      <c r="C65" s="326"/>
      <c r="D65" s="82"/>
      <c r="E65" s="83"/>
      <c r="F65" s="84"/>
      <c r="G65" s="85"/>
    </row>
    <row r="66" spans="2:8" ht="34.5" customHeight="1" x14ac:dyDescent="0.25">
      <c r="B66" s="64" t="s">
        <v>157</v>
      </c>
      <c r="C66" s="82" t="s">
        <v>114</v>
      </c>
      <c r="D66" s="66">
        <v>2100</v>
      </c>
      <c r="E66" s="67">
        <v>55</v>
      </c>
      <c r="F66" s="86">
        <f>D66* E66</f>
        <v>115500</v>
      </c>
      <c r="G66" s="85"/>
    </row>
    <row r="67" spans="2:8" ht="34.5" customHeight="1" x14ac:dyDescent="0.25">
      <c r="B67" s="64" t="s">
        <v>157</v>
      </c>
      <c r="C67" s="82" t="s">
        <v>114</v>
      </c>
      <c r="D67" s="293">
        <f>F67/E67</f>
        <v>199.49072727272727</v>
      </c>
      <c r="E67" s="67">
        <v>55</v>
      </c>
      <c r="F67" s="86">
        <v>10971.99</v>
      </c>
      <c r="G67" s="85"/>
    </row>
    <row r="68" spans="2:8" ht="34.5" customHeight="1" x14ac:dyDescent="0.25">
      <c r="B68" s="64" t="s">
        <v>157</v>
      </c>
      <c r="C68" s="82" t="s">
        <v>114</v>
      </c>
      <c r="D68" s="66">
        <v>1</v>
      </c>
      <c r="E68" s="67">
        <v>45.4</v>
      </c>
      <c r="F68" s="86">
        <f>D68* E68</f>
        <v>45.4</v>
      </c>
      <c r="G68" s="85"/>
    </row>
    <row r="69" spans="2:8" ht="34.5" customHeight="1" x14ac:dyDescent="0.25">
      <c r="B69" s="68"/>
      <c r="C69" s="87"/>
      <c r="D69" s="66"/>
      <c r="E69" s="67"/>
      <c r="F69" s="88"/>
      <c r="G69" s="85"/>
    </row>
    <row r="70" spans="2:8" ht="34.5" customHeight="1" x14ac:dyDescent="0.25">
      <c r="B70" s="331" t="s">
        <v>158</v>
      </c>
      <c r="C70" s="331"/>
      <c r="D70" s="50"/>
      <c r="E70" s="50"/>
      <c r="F70" s="52">
        <f>SUM(F66+F67+F68)</f>
        <v>126517.39</v>
      </c>
      <c r="G70" s="89"/>
    </row>
    <row r="71" spans="2:8" ht="34.5" customHeight="1" x14ac:dyDescent="0.25">
      <c r="B71" s="46" t="s">
        <v>156</v>
      </c>
      <c r="C71" s="79"/>
      <c r="D71" s="79"/>
      <c r="E71" s="79"/>
      <c r="F71" s="80">
        <f>SUM(F64+F70)</f>
        <v>461946.96000000008</v>
      </c>
    </row>
    <row r="72" spans="2:8" ht="34.5" customHeight="1" x14ac:dyDescent="0.25">
      <c r="B72" s="90" t="s">
        <v>370</v>
      </c>
      <c r="C72" s="91"/>
      <c r="D72" s="57"/>
      <c r="E72" s="57"/>
      <c r="F72" s="57"/>
      <c r="G72" s="69"/>
    </row>
    <row r="73" spans="2:8" ht="34.5" customHeight="1" x14ac:dyDescent="0.25">
      <c r="B73" s="64" t="s">
        <v>159</v>
      </c>
      <c r="C73" s="82" t="s">
        <v>160</v>
      </c>
      <c r="D73" s="92">
        <v>600</v>
      </c>
      <c r="E73" s="93">
        <v>51.2</v>
      </c>
      <c r="F73" s="86">
        <f t="shared" ref="F73:F78" si="3">D73*E73</f>
        <v>30720</v>
      </c>
      <c r="G73" s="94"/>
      <c r="H73" s="95"/>
    </row>
    <row r="74" spans="2:8" ht="34.5" customHeight="1" x14ac:dyDescent="0.25">
      <c r="B74" s="64" t="s">
        <v>159</v>
      </c>
      <c r="C74" s="82" t="s">
        <v>160</v>
      </c>
      <c r="D74" s="92">
        <v>1800</v>
      </c>
      <c r="E74" s="93">
        <v>48.1</v>
      </c>
      <c r="F74" s="86">
        <f t="shared" si="3"/>
        <v>86580</v>
      </c>
      <c r="G74" s="94"/>
      <c r="H74" s="95"/>
    </row>
    <row r="75" spans="2:8" ht="34.5" customHeight="1" x14ac:dyDescent="0.25">
      <c r="B75" s="64" t="s">
        <v>159</v>
      </c>
      <c r="C75" s="82" t="s">
        <v>160</v>
      </c>
      <c r="D75" s="92">
        <v>2454</v>
      </c>
      <c r="E75" s="93">
        <v>47.55</v>
      </c>
      <c r="F75" s="86">
        <f t="shared" si="3"/>
        <v>116687.7</v>
      </c>
      <c r="G75" s="94"/>
      <c r="H75" s="95"/>
    </row>
    <row r="76" spans="2:8" ht="34.5" customHeight="1" x14ac:dyDescent="0.25">
      <c r="B76" s="64" t="s">
        <v>159</v>
      </c>
      <c r="C76" s="82" t="s">
        <v>160</v>
      </c>
      <c r="D76" s="92">
        <v>1</v>
      </c>
      <c r="E76" s="93">
        <v>40.89</v>
      </c>
      <c r="F76" s="86">
        <f t="shared" si="3"/>
        <v>40.89</v>
      </c>
      <c r="G76" s="94"/>
      <c r="H76" s="95"/>
    </row>
    <row r="77" spans="2:8" ht="34.5" customHeight="1" x14ac:dyDescent="0.25">
      <c r="B77" s="64" t="s">
        <v>159</v>
      </c>
      <c r="C77" s="82" t="s">
        <v>160</v>
      </c>
      <c r="D77" s="92">
        <v>600</v>
      </c>
      <c r="E77" s="93">
        <v>47.85</v>
      </c>
      <c r="F77" s="86">
        <f t="shared" si="3"/>
        <v>28710</v>
      </c>
      <c r="G77" s="94"/>
      <c r="H77" s="95"/>
    </row>
    <row r="78" spans="2:8" ht="34.5" customHeight="1" x14ac:dyDescent="0.25">
      <c r="B78" s="96" t="s">
        <v>161</v>
      </c>
      <c r="C78" s="82" t="s">
        <v>114</v>
      </c>
      <c r="D78" s="97">
        <v>1</v>
      </c>
      <c r="E78" s="98">
        <v>5950</v>
      </c>
      <c r="F78" s="86">
        <f t="shared" si="3"/>
        <v>5950</v>
      </c>
      <c r="G78" s="99"/>
      <c r="H78" s="100"/>
    </row>
    <row r="79" spans="2:8" ht="34.5" customHeight="1" x14ac:dyDescent="0.25">
      <c r="B79" s="336" t="s">
        <v>104</v>
      </c>
      <c r="C79" s="336"/>
      <c r="D79" s="101"/>
      <c r="E79" s="101"/>
      <c r="F79" s="102">
        <f>SUM(F73:F78)</f>
        <v>268688.59000000003</v>
      </c>
      <c r="G79" s="69"/>
    </row>
    <row r="80" spans="2:8" ht="34.5" customHeight="1" x14ac:dyDescent="0.25">
      <c r="B80" s="326" t="s">
        <v>124</v>
      </c>
      <c r="C80" s="326"/>
      <c r="D80" s="103"/>
      <c r="E80" s="103"/>
      <c r="F80" s="104"/>
      <c r="G80" s="105"/>
    </row>
    <row r="81" spans="2:14" ht="34.5" customHeight="1" x14ac:dyDescent="0.25">
      <c r="B81" s="65" t="s">
        <v>162</v>
      </c>
      <c r="C81" s="82" t="s">
        <v>163</v>
      </c>
      <c r="D81" s="66">
        <v>1</v>
      </c>
      <c r="E81" s="88">
        <v>17420</v>
      </c>
      <c r="F81" s="86">
        <f t="shared" ref="F81:F88" si="4">D81*E81</f>
        <v>17420</v>
      </c>
      <c r="G81" s="106"/>
      <c r="H81" s="107"/>
    </row>
    <row r="82" spans="2:14" ht="34.5" customHeight="1" x14ac:dyDescent="0.25">
      <c r="B82" s="65" t="s">
        <v>162</v>
      </c>
      <c r="C82" s="82" t="s">
        <v>163</v>
      </c>
      <c r="D82" s="66">
        <v>1</v>
      </c>
      <c r="E82" s="88">
        <v>17840</v>
      </c>
      <c r="F82" s="86">
        <f t="shared" si="4"/>
        <v>17840</v>
      </c>
      <c r="G82" s="106"/>
      <c r="H82" s="107"/>
    </row>
    <row r="83" spans="2:14" ht="34.5" customHeight="1" x14ac:dyDescent="0.25">
      <c r="B83" s="65" t="s">
        <v>162</v>
      </c>
      <c r="C83" s="82" t="s">
        <v>163</v>
      </c>
      <c r="D83" s="66">
        <v>1</v>
      </c>
      <c r="E83" s="88">
        <v>8200</v>
      </c>
      <c r="F83" s="86">
        <f t="shared" si="4"/>
        <v>8200</v>
      </c>
      <c r="G83" s="106"/>
      <c r="H83" s="107"/>
    </row>
    <row r="84" spans="2:14" ht="34.5" customHeight="1" x14ac:dyDescent="0.25">
      <c r="B84" s="65" t="s">
        <v>164</v>
      </c>
      <c r="C84" s="82" t="s">
        <v>163</v>
      </c>
      <c r="D84" s="66">
        <v>1</v>
      </c>
      <c r="E84" s="88">
        <v>1304</v>
      </c>
      <c r="F84" s="86">
        <f t="shared" si="4"/>
        <v>1304</v>
      </c>
      <c r="G84" s="106"/>
      <c r="H84" s="107"/>
    </row>
    <row r="85" spans="2:14" ht="34.5" customHeight="1" x14ac:dyDescent="0.25">
      <c r="B85" s="108" t="s">
        <v>165</v>
      </c>
      <c r="C85" s="82" t="s">
        <v>163</v>
      </c>
      <c r="D85" s="66">
        <v>1</v>
      </c>
      <c r="E85" s="88">
        <v>5500</v>
      </c>
      <c r="F85" s="86">
        <f t="shared" si="4"/>
        <v>5500</v>
      </c>
      <c r="G85" s="106"/>
      <c r="H85" s="107"/>
    </row>
    <row r="86" spans="2:14" ht="34.5" customHeight="1" x14ac:dyDescent="0.25">
      <c r="B86" s="108" t="s">
        <v>166</v>
      </c>
      <c r="C86" s="82" t="s">
        <v>163</v>
      </c>
      <c r="D86" s="66">
        <v>1</v>
      </c>
      <c r="E86" s="88">
        <v>5790</v>
      </c>
      <c r="F86" s="86">
        <f t="shared" si="4"/>
        <v>5790</v>
      </c>
      <c r="G86" s="106"/>
      <c r="H86" s="107"/>
    </row>
    <row r="87" spans="2:14" ht="34.5" customHeight="1" x14ac:dyDescent="0.25">
      <c r="B87" s="109" t="s">
        <v>167</v>
      </c>
      <c r="C87" s="103" t="s">
        <v>163</v>
      </c>
      <c r="D87" s="110">
        <v>1</v>
      </c>
      <c r="E87" s="111">
        <v>5680.92</v>
      </c>
      <c r="F87" s="86">
        <f t="shared" si="4"/>
        <v>5680.92</v>
      </c>
      <c r="G87" s="112"/>
      <c r="H87" s="113"/>
    </row>
    <row r="88" spans="2:14" ht="34.5" customHeight="1" x14ac:dyDescent="0.25">
      <c r="B88" s="64" t="s">
        <v>168</v>
      </c>
      <c r="C88" s="108" t="s">
        <v>169</v>
      </c>
      <c r="D88" s="92">
        <v>302.8</v>
      </c>
      <c r="E88" s="86">
        <v>100</v>
      </c>
      <c r="F88" s="86">
        <f t="shared" si="4"/>
        <v>30280</v>
      </c>
      <c r="G88" s="94"/>
      <c r="H88" s="114"/>
      <c r="N88" s="1">
        <f>SUM(F88-M88)</f>
        <v>30280</v>
      </c>
    </row>
    <row r="89" spans="2:14" ht="34.5" customHeight="1" x14ac:dyDescent="0.25">
      <c r="B89" s="336" t="s">
        <v>104</v>
      </c>
      <c r="C89" s="336"/>
      <c r="D89" s="101"/>
      <c r="E89" s="101"/>
      <c r="F89" s="102">
        <f>SUM(F81:F88)</f>
        <v>92014.92</v>
      </c>
      <c r="G89" s="15"/>
    </row>
    <row r="90" spans="2:14" ht="34.5" customHeight="1" x14ac:dyDescent="0.25">
      <c r="B90" s="336" t="s">
        <v>104</v>
      </c>
      <c r="C90" s="336"/>
      <c r="D90" s="101"/>
      <c r="E90" s="101"/>
      <c r="F90" s="102">
        <f>SUM(F79+F89)</f>
        <v>360703.51</v>
      </c>
      <c r="I90">
        <f>SUM(G90*H90)</f>
        <v>0</v>
      </c>
    </row>
    <row r="91" spans="2:14" ht="34.5" customHeight="1" x14ac:dyDescent="0.25">
      <c r="B91" s="333" t="s">
        <v>171</v>
      </c>
      <c r="C91" s="333"/>
      <c r="D91" s="115"/>
      <c r="E91" s="116"/>
      <c r="F91" s="116"/>
      <c r="G91" s="118"/>
    </row>
    <row r="92" spans="2:14" ht="34.5" customHeight="1" x14ac:dyDescent="0.25">
      <c r="B92" s="119" t="s">
        <v>172</v>
      </c>
      <c r="C92" s="120" t="s">
        <v>163</v>
      </c>
      <c r="D92" s="121">
        <v>12</v>
      </c>
      <c r="E92" s="122">
        <v>8614</v>
      </c>
      <c r="F92" s="122">
        <f>D92*E92</f>
        <v>103368</v>
      </c>
      <c r="G92" s="123"/>
      <c r="H92" s="124"/>
    </row>
    <row r="93" spans="2:14" ht="34.5" customHeight="1" x14ac:dyDescent="0.25">
      <c r="B93" s="119" t="s">
        <v>173</v>
      </c>
      <c r="C93" s="120" t="s">
        <v>163</v>
      </c>
      <c r="D93" s="121">
        <v>12</v>
      </c>
      <c r="E93" s="122">
        <v>5000</v>
      </c>
      <c r="F93" s="122">
        <f>D93*E93</f>
        <v>60000</v>
      </c>
      <c r="G93" s="123"/>
      <c r="H93" s="124"/>
    </row>
    <row r="94" spans="2:14" ht="34.5" customHeight="1" x14ac:dyDescent="0.25">
      <c r="B94" s="119" t="s">
        <v>174</v>
      </c>
      <c r="C94" s="120" t="s">
        <v>163</v>
      </c>
      <c r="D94" s="121">
        <v>2</v>
      </c>
      <c r="E94" s="122">
        <v>1083</v>
      </c>
      <c r="F94" s="122">
        <f>D94*E94</f>
        <v>2166</v>
      </c>
      <c r="G94" s="123"/>
      <c r="H94" s="124"/>
    </row>
    <row r="95" spans="2:14" ht="34.5" customHeight="1" x14ac:dyDescent="0.25">
      <c r="B95" s="119" t="s">
        <v>175</v>
      </c>
      <c r="C95" s="120" t="s">
        <v>163</v>
      </c>
      <c r="D95" s="121">
        <v>1</v>
      </c>
      <c r="E95" s="122">
        <v>2898</v>
      </c>
      <c r="F95" s="122">
        <v>2800</v>
      </c>
      <c r="G95" s="123"/>
      <c r="H95" s="124"/>
    </row>
    <row r="96" spans="2:14" ht="34.5" customHeight="1" x14ac:dyDescent="0.25">
      <c r="B96" s="125" t="s">
        <v>176</v>
      </c>
      <c r="C96" s="103" t="s">
        <v>163</v>
      </c>
      <c r="D96" s="126">
        <v>1</v>
      </c>
      <c r="E96" s="126">
        <v>4058</v>
      </c>
      <c r="F96" s="126">
        <f>D96*E96</f>
        <v>4058</v>
      </c>
      <c r="G96" s="127"/>
      <c r="H96" s="128"/>
    </row>
    <row r="97" spans="2:8" ht="34.5" customHeight="1" x14ac:dyDescent="0.25">
      <c r="B97" s="327" t="s">
        <v>158</v>
      </c>
      <c r="C97" s="327"/>
      <c r="D97" s="115"/>
      <c r="E97" s="129"/>
      <c r="F97" s="130">
        <f>SUM(F92:F96)</f>
        <v>172392</v>
      </c>
      <c r="G97" s="131"/>
    </row>
    <row r="98" spans="2:8" ht="34.5" customHeight="1" x14ac:dyDescent="0.25">
      <c r="B98" s="334" t="s">
        <v>103</v>
      </c>
      <c r="C98" s="334"/>
      <c r="D98" s="115"/>
      <c r="E98" s="129"/>
      <c r="F98" s="130"/>
      <c r="G98" s="131"/>
    </row>
    <row r="99" spans="2:8" ht="34.5" customHeight="1" x14ac:dyDescent="0.25">
      <c r="B99" s="65" t="s">
        <v>177</v>
      </c>
      <c r="C99" s="82" t="s">
        <v>163</v>
      </c>
      <c r="D99" s="66">
        <v>1</v>
      </c>
      <c r="E99" s="132">
        <f>631254</f>
        <v>631254</v>
      </c>
      <c r="F99" s="132">
        <f>D99*E99</f>
        <v>631254</v>
      </c>
      <c r="G99" s="106"/>
      <c r="H99" s="133"/>
    </row>
    <row r="100" spans="2:8" ht="34.5" customHeight="1" x14ac:dyDescent="0.25">
      <c r="B100" s="65" t="s">
        <v>178</v>
      </c>
      <c r="C100" s="82" t="s">
        <v>163</v>
      </c>
      <c r="D100" s="92">
        <v>1</v>
      </c>
      <c r="E100" s="86">
        <v>9600</v>
      </c>
      <c r="F100" s="86">
        <v>9600</v>
      </c>
      <c r="G100" s="94"/>
      <c r="H100" s="114"/>
    </row>
    <row r="101" spans="2:8" ht="34.5" customHeight="1" x14ac:dyDescent="0.25">
      <c r="B101" s="65" t="s">
        <v>179</v>
      </c>
      <c r="C101" s="82" t="s">
        <v>180</v>
      </c>
      <c r="D101" s="92">
        <v>12</v>
      </c>
      <c r="E101" s="86">
        <v>1320</v>
      </c>
      <c r="F101" s="86">
        <v>15840</v>
      </c>
      <c r="G101" s="94"/>
      <c r="H101" s="114"/>
    </row>
    <row r="102" spans="2:8" ht="34.5" customHeight="1" x14ac:dyDescent="0.25">
      <c r="B102" s="327" t="s">
        <v>158</v>
      </c>
      <c r="C102" s="327"/>
      <c r="D102" s="115"/>
      <c r="E102" s="129"/>
      <c r="F102" s="130">
        <f>SUM(F99:F101)</f>
        <v>656694</v>
      </c>
      <c r="G102" s="131"/>
    </row>
    <row r="103" spans="2:8" ht="34.5" customHeight="1" x14ac:dyDescent="0.25">
      <c r="B103" s="327" t="s">
        <v>99</v>
      </c>
      <c r="C103" s="327"/>
      <c r="D103" s="115"/>
      <c r="E103" s="115"/>
      <c r="F103" s="202">
        <f>SUM(F97+F102)</f>
        <v>829086</v>
      </c>
      <c r="G103" s="131"/>
    </row>
    <row r="104" spans="2:8" ht="34.5" customHeight="1" x14ac:dyDescent="0.25">
      <c r="B104" s="326" t="s">
        <v>112</v>
      </c>
      <c r="C104" s="326"/>
      <c r="D104" s="55"/>
      <c r="E104" s="136"/>
      <c r="F104" s="136"/>
      <c r="G104" s="137"/>
    </row>
    <row r="105" spans="2:8" ht="34.5" customHeight="1" x14ac:dyDescent="0.25">
      <c r="B105" s="64" t="s">
        <v>181</v>
      </c>
      <c r="C105" s="82" t="s">
        <v>180</v>
      </c>
      <c r="D105" s="83">
        <v>12</v>
      </c>
      <c r="E105" s="138">
        <v>556.69000000000005</v>
      </c>
      <c r="F105" s="88">
        <f>D105*E105</f>
        <v>6680.2800000000007</v>
      </c>
      <c r="G105" s="139"/>
      <c r="H105" s="140"/>
    </row>
    <row r="106" spans="2:8" ht="34.5" customHeight="1" x14ac:dyDescent="0.25">
      <c r="B106" s="64" t="s">
        <v>182</v>
      </c>
      <c r="C106" s="82" t="s">
        <v>163</v>
      </c>
      <c r="D106" s="83">
        <v>1</v>
      </c>
      <c r="E106" s="138">
        <v>6319.71</v>
      </c>
      <c r="F106" s="88">
        <f>D106*E106+0.01</f>
        <v>6319.72</v>
      </c>
      <c r="G106" s="139"/>
      <c r="H106" s="140"/>
    </row>
    <row r="107" spans="2:8" ht="34.5" customHeight="1" x14ac:dyDescent="0.25">
      <c r="B107" s="328" t="s">
        <v>158</v>
      </c>
      <c r="C107" s="328"/>
      <c r="D107" s="55"/>
      <c r="E107" s="143"/>
      <c r="F107" s="255">
        <f>SUM(F105:F106)</f>
        <v>13000</v>
      </c>
      <c r="G107" s="144"/>
    </row>
    <row r="108" spans="2:8" ht="34.5" customHeight="1" x14ac:dyDescent="0.25">
      <c r="B108" s="326" t="s">
        <v>124</v>
      </c>
      <c r="C108" s="326"/>
      <c r="D108" s="55"/>
      <c r="E108" s="136"/>
      <c r="F108" s="136"/>
    </row>
    <row r="109" spans="2:8" ht="34.5" customHeight="1" x14ac:dyDescent="0.25">
      <c r="B109" s="64" t="s">
        <v>183</v>
      </c>
      <c r="C109" s="82" t="s">
        <v>163</v>
      </c>
      <c r="D109" s="83">
        <v>1</v>
      </c>
      <c r="E109" s="88">
        <v>40117.919999999998</v>
      </c>
      <c r="F109" s="132">
        <f>E109</f>
        <v>40117.919999999998</v>
      </c>
      <c r="G109" s="139"/>
      <c r="H109" s="107"/>
    </row>
    <row r="110" spans="2:8" ht="34.5" customHeight="1" x14ac:dyDescent="0.25">
      <c r="B110" s="65" t="s">
        <v>184</v>
      </c>
      <c r="C110" s="82" t="s">
        <v>185</v>
      </c>
      <c r="D110" s="83">
        <v>1</v>
      </c>
      <c r="E110" s="88"/>
      <c r="F110" s="132">
        <f>E110</f>
        <v>0</v>
      </c>
      <c r="G110" s="15"/>
    </row>
    <row r="111" spans="2:8" ht="34.5" customHeight="1" x14ac:dyDescent="0.25">
      <c r="B111" s="65" t="s">
        <v>186</v>
      </c>
      <c r="C111" s="82" t="s">
        <v>163</v>
      </c>
      <c r="D111" s="83">
        <v>1</v>
      </c>
      <c r="E111" s="88">
        <v>9253.44</v>
      </c>
      <c r="F111" s="132">
        <f>E111</f>
        <v>9253.44</v>
      </c>
      <c r="G111" s="106"/>
      <c r="H111" s="133"/>
    </row>
    <row r="112" spans="2:8" ht="34.5" customHeight="1" x14ac:dyDescent="0.25">
      <c r="B112" s="328" t="s">
        <v>158</v>
      </c>
      <c r="C112" s="328"/>
      <c r="D112" s="55"/>
      <c r="E112" s="143"/>
      <c r="F112" s="258">
        <f>SUM(F109:F111)</f>
        <v>49371.360000000001</v>
      </c>
      <c r="G112" s="15"/>
    </row>
    <row r="113" spans="2:8" ht="34.5" customHeight="1" x14ac:dyDescent="0.25">
      <c r="B113" s="333" t="s">
        <v>171</v>
      </c>
      <c r="C113" s="333"/>
      <c r="D113" s="117"/>
      <c r="E113" s="146"/>
      <c r="F113" s="146"/>
      <c r="G113" s="15"/>
    </row>
    <row r="114" spans="2:8" ht="34.5" customHeight="1" x14ac:dyDescent="0.25">
      <c r="B114" s="148" t="s">
        <v>187</v>
      </c>
      <c r="C114" s="149" t="s">
        <v>188</v>
      </c>
      <c r="D114" s="150">
        <v>6.4</v>
      </c>
      <c r="E114" s="151">
        <v>10165.09</v>
      </c>
      <c r="F114" s="151">
        <f>D114*E114-0.02</f>
        <v>65056.556000000004</v>
      </c>
      <c r="G114" s="153"/>
      <c r="H114" s="154"/>
    </row>
    <row r="115" spans="2:8" ht="34.5" customHeight="1" x14ac:dyDescent="0.25">
      <c r="B115" s="155" t="s">
        <v>189</v>
      </c>
      <c r="C115" s="149" t="s">
        <v>190</v>
      </c>
      <c r="D115" s="150">
        <v>72</v>
      </c>
      <c r="E115" s="151">
        <v>64</v>
      </c>
      <c r="F115" s="151">
        <f>E115*D115</f>
        <v>4608</v>
      </c>
      <c r="G115" s="153"/>
      <c r="H115" s="154"/>
    </row>
    <row r="116" spans="2:8" ht="34.5" customHeight="1" x14ac:dyDescent="0.25">
      <c r="B116" s="155" t="s">
        <v>191</v>
      </c>
      <c r="C116" s="149" t="s">
        <v>190</v>
      </c>
      <c r="D116" s="150">
        <v>144</v>
      </c>
      <c r="E116" s="151">
        <v>621</v>
      </c>
      <c r="F116" s="151">
        <f>D116*E116</f>
        <v>89424</v>
      </c>
      <c r="G116" s="153"/>
      <c r="H116" s="154"/>
    </row>
    <row r="117" spans="2:8" ht="34.5" customHeight="1" x14ac:dyDescent="0.25">
      <c r="B117" s="155" t="s">
        <v>192</v>
      </c>
      <c r="C117" s="149" t="s">
        <v>193</v>
      </c>
      <c r="D117" s="150">
        <v>13.7</v>
      </c>
      <c r="E117" s="151">
        <v>8248.1749999999993</v>
      </c>
      <c r="F117" s="151">
        <v>113000</v>
      </c>
      <c r="G117" s="153"/>
      <c r="H117" s="154"/>
    </row>
    <row r="118" spans="2:8" ht="34.5" customHeight="1" x14ac:dyDescent="0.25">
      <c r="B118" s="155" t="s">
        <v>194</v>
      </c>
      <c r="C118" s="149" t="s">
        <v>163</v>
      </c>
      <c r="D118" s="150">
        <v>12</v>
      </c>
      <c r="E118" s="151">
        <v>2059.37</v>
      </c>
      <c r="F118" s="151">
        <f>D118*E118</f>
        <v>24712.44</v>
      </c>
      <c r="G118" s="153"/>
      <c r="H118" s="154"/>
    </row>
    <row r="119" spans="2:8" ht="34.5" customHeight="1" x14ac:dyDescent="0.25">
      <c r="B119" s="332" t="s">
        <v>104</v>
      </c>
      <c r="C119" s="332"/>
      <c r="D119" s="156"/>
      <c r="E119" s="157"/>
      <c r="F119" s="228">
        <f>SUM(F114:F118)</f>
        <v>296800.99599999998</v>
      </c>
      <c r="G119" s="15"/>
    </row>
    <row r="120" spans="2:8" ht="34.5" customHeight="1" x14ac:dyDescent="0.25">
      <c r="B120" s="326" t="s">
        <v>124</v>
      </c>
      <c r="C120" s="326"/>
      <c r="D120" s="296"/>
      <c r="E120" s="296"/>
      <c r="F120" s="297"/>
    </row>
    <row r="121" spans="2:8" ht="34.5" customHeight="1" x14ac:dyDescent="0.25">
      <c r="B121" s="109" t="s">
        <v>195</v>
      </c>
      <c r="C121" s="103" t="s">
        <v>196</v>
      </c>
      <c r="D121" s="158"/>
      <c r="E121" s="111"/>
      <c r="F121" s="111"/>
    </row>
    <row r="122" spans="2:8" ht="34.5" customHeight="1" x14ac:dyDescent="0.25">
      <c r="B122" s="48" t="s">
        <v>197</v>
      </c>
      <c r="C122" s="82"/>
      <c r="D122" s="79">
        <v>1</v>
      </c>
      <c r="E122" s="76">
        <v>9127</v>
      </c>
      <c r="F122" s="76">
        <f>D122*E122</f>
        <v>9127</v>
      </c>
      <c r="G122" s="161"/>
      <c r="H122" s="78"/>
    </row>
    <row r="123" spans="2:8" ht="34.5" customHeight="1" x14ac:dyDescent="0.25">
      <c r="B123" s="48" t="s">
        <v>197</v>
      </c>
      <c r="C123" s="82"/>
      <c r="D123" s="79">
        <v>1</v>
      </c>
      <c r="E123" s="76">
        <v>9127</v>
      </c>
      <c r="F123" s="76">
        <f>D123*E123</f>
        <v>9127</v>
      </c>
      <c r="G123" s="161"/>
      <c r="H123" s="78"/>
    </row>
    <row r="124" spans="2:8" ht="34.5" customHeight="1" x14ac:dyDescent="0.25">
      <c r="B124" s="48" t="s">
        <v>198</v>
      </c>
      <c r="C124" s="82"/>
      <c r="D124" s="79">
        <v>1</v>
      </c>
      <c r="E124" s="76">
        <v>3000</v>
      </c>
      <c r="F124" s="76">
        <f>D124*E124</f>
        <v>3000</v>
      </c>
      <c r="G124" s="161"/>
      <c r="H124" s="78"/>
    </row>
    <row r="125" spans="2:8" ht="34.5" customHeight="1" x14ac:dyDescent="0.25">
      <c r="B125" s="48" t="s">
        <v>199</v>
      </c>
      <c r="C125" s="82"/>
      <c r="D125" s="79">
        <v>19</v>
      </c>
      <c r="E125" s="76">
        <v>350</v>
      </c>
      <c r="F125" s="76">
        <f>D125*E125</f>
        <v>6650</v>
      </c>
      <c r="G125" s="161"/>
      <c r="H125" s="78"/>
    </row>
    <row r="126" spans="2:8" ht="34.5" customHeight="1" x14ac:dyDescent="0.25">
      <c r="B126" s="328" t="s">
        <v>200</v>
      </c>
      <c r="C126" s="328"/>
      <c r="D126" s="55"/>
      <c r="E126" s="143"/>
      <c r="F126" s="227">
        <f>SUM(F122:F125)</f>
        <v>27904</v>
      </c>
      <c r="G126" s="15"/>
    </row>
    <row r="127" spans="2:8" ht="34.5" customHeight="1" x14ac:dyDescent="0.25">
      <c r="B127" s="326" t="s">
        <v>124</v>
      </c>
      <c r="C127" s="326"/>
    </row>
    <row r="128" spans="2:8" ht="34.5" customHeight="1" x14ac:dyDescent="0.25">
      <c r="B128" s="65" t="s">
        <v>201</v>
      </c>
      <c r="C128" s="82" t="s">
        <v>180</v>
      </c>
      <c r="D128" s="83">
        <v>12</v>
      </c>
      <c r="E128" s="88">
        <v>4173.28</v>
      </c>
      <c r="F128" s="160">
        <f>D128*E128</f>
        <v>50079.360000000001</v>
      </c>
      <c r="G128" s="139"/>
      <c r="H128" s="107"/>
    </row>
    <row r="129" spans="2:11" ht="34.5" customHeight="1" x14ac:dyDescent="0.25">
      <c r="G129" s="15"/>
    </row>
    <row r="130" spans="2:11" ht="34.5" customHeight="1" x14ac:dyDescent="0.25">
      <c r="B130" s="65"/>
      <c r="C130" s="82"/>
      <c r="D130" s="83"/>
      <c r="E130" s="138"/>
      <c r="F130" s="257"/>
      <c r="G130" s="15"/>
    </row>
    <row r="131" spans="2:11" ht="34.5" customHeight="1" x14ac:dyDescent="0.25">
      <c r="B131" s="65"/>
      <c r="C131" s="82"/>
      <c r="D131" s="83"/>
      <c r="E131" s="138"/>
      <c r="F131" s="162"/>
      <c r="G131" s="139"/>
      <c r="H131" s="140"/>
    </row>
    <row r="132" spans="2:11" ht="34.5" customHeight="1" x14ac:dyDescent="0.25">
      <c r="B132" s="65"/>
      <c r="C132" s="82"/>
      <c r="D132" s="83"/>
      <c r="E132" s="138"/>
      <c r="F132" s="162"/>
      <c r="G132" s="139"/>
      <c r="H132" s="140"/>
    </row>
    <row r="133" spans="2:11" ht="34.5" customHeight="1" x14ac:dyDescent="0.25">
      <c r="B133" s="163" t="s">
        <v>104</v>
      </c>
      <c r="C133" s="82"/>
      <c r="D133" s="83"/>
      <c r="E133" s="138"/>
      <c r="F133" s="164">
        <f>SUM(F131:F132)</f>
        <v>0</v>
      </c>
    </row>
    <row r="135" spans="2:11" ht="34.5" customHeight="1" x14ac:dyDescent="0.25">
      <c r="B135" s="338" t="s">
        <v>363</v>
      </c>
      <c r="C135" s="338"/>
      <c r="D135" s="338"/>
      <c r="E135" s="338"/>
      <c r="F135" s="338"/>
      <c r="G135" s="338"/>
      <c r="H135" s="338"/>
      <c r="I135" s="338"/>
      <c r="J135" s="338"/>
      <c r="K135" s="338"/>
    </row>
    <row r="136" spans="2:11" ht="34.5" customHeight="1" x14ac:dyDescent="0.25">
      <c r="B136" s="70" t="s">
        <v>107</v>
      </c>
      <c r="C136" s="71" t="s">
        <v>108</v>
      </c>
      <c r="D136" s="70" t="s">
        <v>127</v>
      </c>
      <c r="E136" s="71" t="s">
        <v>128</v>
      </c>
      <c r="F136" s="298" t="s">
        <v>129</v>
      </c>
      <c r="G136" s="72"/>
    </row>
    <row r="137" spans="2:11" ht="34.5" customHeight="1" x14ac:dyDescent="0.25">
      <c r="B137" s="326" t="s">
        <v>124</v>
      </c>
      <c r="C137" s="326"/>
      <c r="D137" s="71"/>
      <c r="E137" s="70"/>
      <c r="F137" s="280"/>
      <c r="G137" s="72"/>
    </row>
    <row r="138" spans="2:11" ht="34.5" customHeight="1" x14ac:dyDescent="0.25">
      <c r="B138" s="65" t="s">
        <v>202</v>
      </c>
      <c r="C138" s="82" t="s">
        <v>114</v>
      </c>
      <c r="D138" s="165"/>
      <c r="E138" s="166"/>
      <c r="F138" s="257">
        <f>D138*E138</f>
        <v>0</v>
      </c>
      <c r="G138" s="181"/>
    </row>
    <row r="139" spans="2:11" ht="34.5" customHeight="1" x14ac:dyDescent="0.25">
      <c r="B139" s="65" t="s">
        <v>202</v>
      </c>
      <c r="C139" s="82" t="s">
        <v>114</v>
      </c>
      <c r="D139" s="83">
        <v>3</v>
      </c>
      <c r="E139" s="88">
        <v>55000</v>
      </c>
      <c r="F139" s="257">
        <f>D139*E139</f>
        <v>165000</v>
      </c>
      <c r="G139" s="181"/>
      <c r="J139" s="1"/>
      <c r="K139" s="1"/>
    </row>
    <row r="140" spans="2:11" ht="34.5" customHeight="1" x14ac:dyDescent="0.25">
      <c r="B140" s="64" t="s">
        <v>203</v>
      </c>
      <c r="C140" s="82" t="s">
        <v>114</v>
      </c>
      <c r="D140" s="83">
        <v>21</v>
      </c>
      <c r="E140" s="88">
        <v>17000</v>
      </c>
      <c r="F140" s="257">
        <f>D140*E140</f>
        <v>357000</v>
      </c>
      <c r="G140" s="181"/>
      <c r="K140" s="1"/>
    </row>
    <row r="141" spans="2:11" ht="34.5" customHeight="1" x14ac:dyDescent="0.25">
      <c r="B141" s="331" t="s">
        <v>99</v>
      </c>
      <c r="C141" s="331"/>
      <c r="D141" s="50"/>
      <c r="E141" s="50"/>
      <c r="F141" s="299">
        <f>SUM(F138:F140)</f>
        <v>522000</v>
      </c>
      <c r="G141" s="181"/>
    </row>
    <row r="142" spans="2:11" ht="34.5" customHeight="1" x14ac:dyDescent="0.25">
      <c r="B142" s="326" t="s">
        <v>112</v>
      </c>
      <c r="C142" s="326"/>
      <c r="D142" s="55"/>
      <c r="E142" s="136"/>
      <c r="F142" s="145"/>
      <c r="G142" s="137"/>
    </row>
    <row r="143" spans="2:11" ht="34.5" customHeight="1" x14ac:dyDescent="0.25">
      <c r="B143" s="65" t="s">
        <v>204</v>
      </c>
      <c r="C143" s="82" t="s">
        <v>163</v>
      </c>
      <c r="D143" s="83">
        <v>1</v>
      </c>
      <c r="E143" s="84">
        <f>582715.48+43248.85</f>
        <v>625964.32999999996</v>
      </c>
      <c r="F143" s="279">
        <f>SUM(D143*E143)</f>
        <v>625964.32999999996</v>
      </c>
      <c r="G143" s="139"/>
      <c r="H143" s="191"/>
    </row>
    <row r="144" spans="2:11" ht="34.5" customHeight="1" x14ac:dyDescent="0.25">
      <c r="B144" s="65" t="s">
        <v>205</v>
      </c>
      <c r="C144" s="82" t="s">
        <v>163</v>
      </c>
      <c r="D144" s="83">
        <v>1</v>
      </c>
      <c r="E144" s="84">
        <v>31034.14</v>
      </c>
      <c r="F144" s="279">
        <f>SUM(D144*E144)</f>
        <v>31034.14</v>
      </c>
      <c r="G144" s="139"/>
      <c r="H144" s="191"/>
    </row>
    <row r="145" spans="2:8" ht="34.5" customHeight="1" x14ac:dyDescent="0.25">
      <c r="B145" s="331" t="s">
        <v>99</v>
      </c>
      <c r="C145" s="331"/>
      <c r="D145" s="50"/>
      <c r="E145" s="50"/>
      <c r="F145" s="261">
        <f>SUM(F143:F144)</f>
        <v>656998.47</v>
      </c>
      <c r="G145" s="89"/>
    </row>
    <row r="146" spans="2:8" ht="34.5" customHeight="1" x14ac:dyDescent="0.25">
      <c r="B146" s="326" t="s">
        <v>112</v>
      </c>
      <c r="C146" s="326"/>
      <c r="D146" s="55"/>
      <c r="E146" s="136"/>
      <c r="F146" s="168"/>
      <c r="G146" s="181"/>
    </row>
    <row r="147" spans="2:8" ht="34.5" customHeight="1" x14ac:dyDescent="0.25">
      <c r="B147" s="65" t="s">
        <v>206</v>
      </c>
      <c r="C147" s="82" t="s">
        <v>196</v>
      </c>
      <c r="D147" s="82">
        <v>177</v>
      </c>
      <c r="E147" s="83">
        <v>265</v>
      </c>
      <c r="F147" s="257">
        <f>D147*E147*11</f>
        <v>515955</v>
      </c>
      <c r="G147" s="192"/>
      <c r="H147" s="193"/>
    </row>
    <row r="148" spans="2:8" ht="34.5" customHeight="1" x14ac:dyDescent="0.25">
      <c r="B148" s="328" t="s">
        <v>104</v>
      </c>
      <c r="C148" s="328"/>
      <c r="D148" s="55"/>
      <c r="E148" s="164"/>
      <c r="F148" s="262">
        <f>SUM(F147)</f>
        <v>515955</v>
      </c>
      <c r="G148" s="181"/>
    </row>
    <row r="149" spans="2:8" ht="34.5" customHeight="1" x14ac:dyDescent="0.25">
      <c r="B149" s="326" t="s">
        <v>124</v>
      </c>
      <c r="C149" s="326"/>
      <c r="D149" s="82"/>
      <c r="E149" s="83"/>
      <c r="F149" s="263"/>
      <c r="G149" s="181"/>
    </row>
    <row r="150" spans="2:8" ht="34.5" customHeight="1" x14ac:dyDescent="0.25">
      <c r="B150" s="125" t="s">
        <v>207</v>
      </c>
      <c r="C150" s="103" t="s">
        <v>208</v>
      </c>
      <c r="D150" s="158">
        <v>4</v>
      </c>
      <c r="E150" s="111">
        <v>5100</v>
      </c>
      <c r="F150" s="159">
        <f>D150*E150</f>
        <v>20400</v>
      </c>
      <c r="G150" s="194"/>
      <c r="H150" s="113"/>
    </row>
    <row r="151" spans="2:8" ht="34.5" customHeight="1" x14ac:dyDescent="0.25">
      <c r="B151" s="109" t="s">
        <v>209</v>
      </c>
      <c r="C151" s="103" t="s">
        <v>180</v>
      </c>
      <c r="D151" s="158">
        <v>12</v>
      </c>
      <c r="E151" s="111">
        <v>900</v>
      </c>
      <c r="F151" s="159">
        <f>D151*E151</f>
        <v>10800</v>
      </c>
      <c r="G151" s="194"/>
      <c r="H151" s="113"/>
    </row>
    <row r="152" spans="2:8" ht="34.5" customHeight="1" x14ac:dyDescent="0.25">
      <c r="B152" s="332" t="s">
        <v>104</v>
      </c>
      <c r="C152" s="332"/>
      <c r="D152" s="156"/>
      <c r="E152" s="157"/>
      <c r="F152" s="300">
        <f>SUM(F150:F151)</f>
        <v>31200</v>
      </c>
      <c r="G152" s="181"/>
    </row>
    <row r="153" spans="2:8" ht="34.5" customHeight="1" x14ac:dyDescent="0.25">
      <c r="B153" s="326" t="s">
        <v>112</v>
      </c>
      <c r="C153" s="326"/>
      <c r="D153" s="55"/>
      <c r="E153" s="136"/>
      <c r="F153" s="136"/>
      <c r="G153" s="167"/>
    </row>
    <row r="154" spans="2:8" ht="34.5" customHeight="1" x14ac:dyDescent="0.25">
      <c r="B154" s="64" t="s">
        <v>210</v>
      </c>
      <c r="C154" s="82" t="s">
        <v>211</v>
      </c>
      <c r="D154" s="83">
        <v>227</v>
      </c>
      <c r="E154" s="67">
        <v>56.64</v>
      </c>
      <c r="F154" s="132">
        <f>D154*E154</f>
        <v>12857.28</v>
      </c>
      <c r="G154" s="167"/>
    </row>
    <row r="155" spans="2:8" ht="34.5" customHeight="1" x14ac:dyDescent="0.25">
      <c r="B155" s="64" t="s">
        <v>212</v>
      </c>
      <c r="C155" s="82" t="s">
        <v>211</v>
      </c>
      <c r="D155" s="83">
        <v>227</v>
      </c>
      <c r="E155" s="67">
        <v>56.64</v>
      </c>
      <c r="F155" s="132">
        <f>D155*E155</f>
        <v>12857.28</v>
      </c>
      <c r="G155" s="167"/>
    </row>
    <row r="156" spans="2:8" ht="34.5" customHeight="1" x14ac:dyDescent="0.25">
      <c r="B156" s="329" t="s">
        <v>104</v>
      </c>
      <c r="C156" s="329"/>
      <c r="D156" s="57"/>
      <c r="E156" s="57"/>
      <c r="F156" s="63">
        <f>SUM(F154:F155)</f>
        <v>25714.560000000001</v>
      </c>
      <c r="G156" s="167"/>
    </row>
    <row r="157" spans="2:8" ht="34.5" customHeight="1" x14ac:dyDescent="0.25">
      <c r="B157" s="326" t="s">
        <v>112</v>
      </c>
      <c r="C157" s="326"/>
      <c r="D157" s="55"/>
      <c r="E157" s="136"/>
      <c r="F157" s="136"/>
      <c r="G157" s="167"/>
    </row>
    <row r="158" spans="2:8" ht="34.5" customHeight="1" x14ac:dyDescent="0.25">
      <c r="B158" s="65" t="s">
        <v>213</v>
      </c>
      <c r="C158" s="82" t="s">
        <v>214</v>
      </c>
      <c r="D158" s="83">
        <v>36</v>
      </c>
      <c r="E158" s="67">
        <v>3139.33</v>
      </c>
      <c r="F158" s="132">
        <v>113016</v>
      </c>
      <c r="G158" s="167"/>
    </row>
    <row r="159" spans="2:8" ht="34.5" customHeight="1" x14ac:dyDescent="0.25">
      <c r="B159" s="65" t="s">
        <v>215</v>
      </c>
      <c r="C159" s="82" t="s">
        <v>163</v>
      </c>
      <c r="D159" s="83">
        <v>1</v>
      </c>
      <c r="E159" s="67">
        <v>11000</v>
      </c>
      <c r="F159" s="132">
        <f>D159*E159</f>
        <v>11000</v>
      </c>
      <c r="G159" s="167"/>
    </row>
    <row r="160" spans="2:8" ht="34.5" customHeight="1" x14ac:dyDescent="0.25">
      <c r="B160" s="329" t="s">
        <v>104</v>
      </c>
      <c r="C160" s="329"/>
      <c r="D160" s="57"/>
      <c r="E160" s="57"/>
      <c r="F160" s="63">
        <f>SUM(F158:F159)</f>
        <v>124016</v>
      </c>
      <c r="G160" s="167"/>
    </row>
    <row r="161" spans="2:7" ht="34.5" customHeight="1" x14ac:dyDescent="0.25">
      <c r="B161" s="326" t="s">
        <v>124</v>
      </c>
      <c r="C161" s="326"/>
      <c r="D161" s="57"/>
      <c r="E161" s="57"/>
      <c r="F161" s="63"/>
      <c r="G161" s="167"/>
    </row>
    <row r="162" spans="2:7" ht="34.5" customHeight="1" x14ac:dyDescent="0.25">
      <c r="B162" s="141" t="s">
        <v>216</v>
      </c>
      <c r="C162" s="82"/>
      <c r="D162" s="83"/>
      <c r="E162" s="88"/>
      <c r="F162" s="164"/>
      <c r="G162" s="167"/>
    </row>
    <row r="163" spans="2:7" ht="34.5" customHeight="1" x14ac:dyDescent="0.25">
      <c r="B163" s="48" t="s">
        <v>217</v>
      </c>
      <c r="C163" s="82" t="s">
        <v>196</v>
      </c>
      <c r="D163" s="79">
        <v>3</v>
      </c>
      <c r="E163" s="169">
        <v>3000</v>
      </c>
      <c r="F163" s="169">
        <f>D163*E163</f>
        <v>9000</v>
      </c>
      <c r="G163" s="167"/>
    </row>
    <row r="164" spans="2:7" ht="34.5" customHeight="1" x14ac:dyDescent="0.25">
      <c r="B164" s="48" t="s">
        <v>218</v>
      </c>
      <c r="C164" s="82" t="s">
        <v>196</v>
      </c>
      <c r="D164" s="79">
        <v>1</v>
      </c>
      <c r="E164" s="169">
        <v>13300</v>
      </c>
      <c r="F164" s="169">
        <f>D164*E164</f>
        <v>13300</v>
      </c>
      <c r="G164" s="167"/>
    </row>
    <row r="165" spans="2:7" ht="34.5" customHeight="1" x14ac:dyDescent="0.25">
      <c r="B165" s="48" t="s">
        <v>219</v>
      </c>
      <c r="C165" s="82" t="s">
        <v>196</v>
      </c>
      <c r="D165" s="79">
        <v>1</v>
      </c>
      <c r="E165" s="169">
        <v>6900</v>
      </c>
      <c r="F165" s="169">
        <f>D165*E165</f>
        <v>6900</v>
      </c>
      <c r="G165" s="167"/>
    </row>
    <row r="166" spans="2:7" ht="34.5" customHeight="1" x14ac:dyDescent="0.25">
      <c r="B166" s="328" t="s">
        <v>158</v>
      </c>
      <c r="C166" s="328"/>
      <c r="D166" s="55"/>
      <c r="E166" s="143"/>
      <c r="F166" s="164">
        <f>SUM(F163:F165)</f>
        <v>29200</v>
      </c>
      <c r="G166" s="167"/>
    </row>
    <row r="167" spans="2:7" ht="34.5" customHeight="1" x14ac:dyDescent="0.25">
      <c r="B167" s="170" t="s">
        <v>220</v>
      </c>
      <c r="C167" s="82" t="s">
        <v>114</v>
      </c>
      <c r="D167" s="97">
        <v>300</v>
      </c>
      <c r="E167" s="171">
        <v>100.98</v>
      </c>
      <c r="F167" s="88">
        <f>D167*E167</f>
        <v>30294</v>
      </c>
      <c r="G167" s="167"/>
    </row>
    <row r="168" spans="2:7" ht="34.5" customHeight="1" x14ac:dyDescent="0.25">
      <c r="B168" s="326" t="s">
        <v>112</v>
      </c>
      <c r="C168" s="326"/>
      <c r="D168" s="55"/>
      <c r="E168" s="136"/>
      <c r="F168" s="136"/>
      <c r="G168" s="167"/>
    </row>
    <row r="169" spans="2:7" ht="34.5" customHeight="1" x14ac:dyDescent="0.25">
      <c r="B169" s="64" t="s">
        <v>221</v>
      </c>
      <c r="C169" s="82" t="s">
        <v>222</v>
      </c>
      <c r="D169" s="83">
        <v>9.1999999999999993</v>
      </c>
      <c r="E169" s="138"/>
      <c r="F169" s="83"/>
      <c r="G169" s="167"/>
    </row>
    <row r="170" spans="2:7" ht="34.5" customHeight="1" x14ac:dyDescent="0.25">
      <c r="B170" s="64" t="s">
        <v>223</v>
      </c>
      <c r="C170" s="82" t="s">
        <v>222</v>
      </c>
      <c r="D170" s="83">
        <v>9</v>
      </c>
      <c r="E170" s="138"/>
      <c r="F170" s="83"/>
      <c r="G170" s="167"/>
    </row>
    <row r="171" spans="2:7" ht="34.5" customHeight="1" x14ac:dyDescent="0.25">
      <c r="B171" s="64" t="s">
        <v>224</v>
      </c>
      <c r="C171" s="82"/>
      <c r="D171" s="83">
        <v>2000</v>
      </c>
      <c r="E171" s="138">
        <v>50.8</v>
      </c>
      <c r="F171" s="132">
        <f>D171*E171</f>
        <v>101600</v>
      </c>
      <c r="G171" s="172"/>
    </row>
    <row r="172" spans="2:7" ht="34.5" customHeight="1" x14ac:dyDescent="0.25">
      <c r="B172" s="64" t="s">
        <v>224</v>
      </c>
      <c r="C172" s="82"/>
      <c r="D172" s="83">
        <v>1</v>
      </c>
      <c r="E172" s="138">
        <v>20.83</v>
      </c>
      <c r="F172" s="132">
        <f>D172*E172</f>
        <v>20.83</v>
      </c>
      <c r="G172" s="167"/>
    </row>
    <row r="173" spans="2:7" ht="34.5" customHeight="1" x14ac:dyDescent="0.25">
      <c r="B173" s="329" t="s">
        <v>104</v>
      </c>
      <c r="C173" s="329"/>
      <c r="D173" s="57"/>
      <c r="E173" s="57"/>
      <c r="F173" s="63">
        <f>SUM(F171:F172)</f>
        <v>101620.83</v>
      </c>
      <c r="G173" s="167"/>
    </row>
    <row r="174" spans="2:7" ht="34.5" customHeight="1" x14ac:dyDescent="0.25">
      <c r="B174" s="326" t="s">
        <v>124</v>
      </c>
      <c r="C174" s="326"/>
      <c r="D174" s="103"/>
      <c r="E174" s="103"/>
      <c r="F174" s="104"/>
      <c r="G174" s="167"/>
    </row>
    <row r="175" spans="2:7" ht="34.5" customHeight="1" x14ac:dyDescent="0.25">
      <c r="B175" s="108" t="s">
        <v>225</v>
      </c>
      <c r="C175" s="82" t="s">
        <v>163</v>
      </c>
      <c r="D175" s="83">
        <v>1</v>
      </c>
      <c r="E175" s="88">
        <v>1800</v>
      </c>
      <c r="F175" s="86">
        <v>1800</v>
      </c>
      <c r="G175" s="167"/>
    </row>
    <row r="176" spans="2:7" ht="34.5" customHeight="1" x14ac:dyDescent="0.25">
      <c r="B176" s="65" t="s">
        <v>162</v>
      </c>
      <c r="C176" s="82" t="s">
        <v>163</v>
      </c>
      <c r="D176" s="83">
        <v>1</v>
      </c>
      <c r="E176" s="294">
        <v>13479.97</v>
      </c>
      <c r="F176" s="294">
        <v>13479.97</v>
      </c>
      <c r="G176" s="167"/>
    </row>
    <row r="177" spans="2:11" ht="34.5" customHeight="1" x14ac:dyDescent="0.25">
      <c r="B177" s="109" t="s">
        <v>226</v>
      </c>
      <c r="C177" s="103" t="s">
        <v>163</v>
      </c>
      <c r="D177" s="158">
        <v>1</v>
      </c>
      <c r="E177" s="294">
        <v>4223.75</v>
      </c>
      <c r="F177" s="294">
        <v>4223.75</v>
      </c>
      <c r="G177" s="167" t="s">
        <v>372</v>
      </c>
      <c r="H177" s="1">
        <f>SUM(F34+F71+F90+F103+F107+F112+F119+F126+F128+F133)+F141+F145+F148+F152+F156+F160+F166+F167+F179</f>
        <v>5562053.2459999993</v>
      </c>
    </row>
    <row r="178" spans="2:11" ht="34.5" customHeight="1" x14ac:dyDescent="0.25">
      <c r="B178" s="339" t="s">
        <v>158</v>
      </c>
      <c r="C178" s="339"/>
      <c r="D178" s="256"/>
      <c r="E178" s="256"/>
      <c r="F178" s="202">
        <f>SUM(F175:F177)</f>
        <v>19503.72</v>
      </c>
      <c r="G178" s="167" t="s">
        <v>373</v>
      </c>
      <c r="H178" s="1">
        <f>'[2]НОВАЯ ПОПЫТКА 2024'!C130</f>
        <v>5562053.2476590313</v>
      </c>
      <c r="I178">
        <v>244</v>
      </c>
    </row>
    <row r="179" spans="2:11" ht="34.5" customHeight="1" x14ac:dyDescent="0.25">
      <c r="B179" s="339" t="s">
        <v>99</v>
      </c>
      <c r="C179" s="339"/>
      <c r="D179" s="256"/>
      <c r="E179" s="256"/>
      <c r="F179" s="202">
        <f>SUM(F173+F178)</f>
        <v>121124.55</v>
      </c>
      <c r="G179" s="167"/>
      <c r="H179" s="1">
        <f>SUM(H177-H178)</f>
        <v>-1.6590319573879242E-3</v>
      </c>
    </row>
    <row r="180" spans="2:11" ht="34.5" customHeight="1" x14ac:dyDescent="0.25">
      <c r="B180" s="269"/>
      <c r="C180" s="269"/>
      <c r="D180" s="269"/>
      <c r="E180" s="269"/>
      <c r="F180" s="265"/>
      <c r="G180" s="167"/>
      <c r="H180" s="1"/>
    </row>
    <row r="181" spans="2:11" ht="56.45" customHeight="1" x14ac:dyDescent="0.25">
      <c r="B181" s="217" t="s">
        <v>347</v>
      </c>
      <c r="C181" s="217" t="s">
        <v>346</v>
      </c>
      <c r="D181" s="213" t="s">
        <v>344</v>
      </c>
      <c r="E181" s="213" t="s">
        <v>345</v>
      </c>
      <c r="F181" s="134" t="s">
        <v>355</v>
      </c>
      <c r="G181" s="167"/>
      <c r="H181" s="1"/>
    </row>
    <row r="182" spans="2:11" ht="33.950000000000003" customHeight="1" x14ac:dyDescent="0.25">
      <c r="B182" s="215" t="s">
        <v>337</v>
      </c>
      <c r="C182" s="288">
        <v>0</v>
      </c>
      <c r="D182" s="289">
        <f>SUM(C14)</f>
        <v>110738771.80977999</v>
      </c>
      <c r="E182" s="290">
        <f>SUM(D14)</f>
        <v>10452702.699999999</v>
      </c>
      <c r="F182" s="291">
        <f>SUM(C182:E182)</f>
        <v>121191474.50977999</v>
      </c>
      <c r="G182" s="167"/>
      <c r="H182" s="1"/>
    </row>
    <row r="183" spans="2:11" ht="64.5" customHeight="1" x14ac:dyDescent="0.25">
      <c r="B183" s="73" t="s">
        <v>356</v>
      </c>
      <c r="C183" s="270">
        <f>SUM(F119+F97)</f>
        <v>469192.99599999998</v>
      </c>
      <c r="D183" s="289">
        <f>SUM(F29+F64+F107+F145+F148+F156+F160+F173)</f>
        <v>3185747.91</v>
      </c>
      <c r="E183" s="289">
        <f>SUM(F33+F70+F79+F89+F102+F112+F126+F128+F141+F152+F166+F167+F178)</f>
        <v>1907112.34</v>
      </c>
      <c r="F183" s="301">
        <f>SUM(C183:E183)</f>
        <v>5562053.2460000003</v>
      </c>
      <c r="G183" s="167">
        <f>SUM(B184-F183)</f>
        <v>1.6590310260653496E-3</v>
      </c>
      <c r="H183" s="1"/>
      <c r="I183" s="1">
        <f>SUM(B184-F183)</f>
        <v>1.6590310260653496E-3</v>
      </c>
    </row>
    <row r="184" spans="2:11" ht="34.5" customHeight="1" x14ac:dyDescent="0.25">
      <c r="B184" s="286">
        <f>SUM('расчет подушевого 2024'!C130)</f>
        <v>5562053.2476590313</v>
      </c>
      <c r="C184" s="287"/>
      <c r="D184" s="288"/>
      <c r="E184" s="288"/>
      <c r="F184" s="288"/>
      <c r="G184" s="167"/>
      <c r="H184" s="1"/>
      <c r="I184" s="249">
        <f>SUM('[2]сделать 2024 юля'!$F$213)</f>
        <v>469192.99599999998</v>
      </c>
      <c r="J184" s="249">
        <f>SUM(J92+J120)</f>
        <v>0</v>
      </c>
    </row>
    <row r="185" spans="2:11" ht="34.5" customHeight="1" x14ac:dyDescent="0.25">
      <c r="B185" s="292">
        <f>SUM('расчет подушевого 2024'!C28+'расчет подушевого 2024'!C29+'расчет подушевого 2024'!C130)</f>
        <v>126753527.75765902</v>
      </c>
      <c r="C185" s="292"/>
      <c r="D185" s="288"/>
      <c r="E185" s="288"/>
      <c r="F185" s="292">
        <f>SUM(F182+F183)</f>
        <v>126753527.75578</v>
      </c>
      <c r="G185" s="167">
        <f>SUM(B185-F185)</f>
        <v>1.8790215253829956E-3</v>
      </c>
      <c r="H185" s="1"/>
      <c r="I185" s="249">
        <f>SUM('[2]сделать 2024 юля'!$F$214)</f>
        <v>3142499.06</v>
      </c>
      <c r="J185" s="249">
        <f>SUM(J14+J53+J106+J148+J151+J159+J163+J176)</f>
        <v>0</v>
      </c>
    </row>
    <row r="186" spans="2:11" ht="34.5" customHeight="1" x14ac:dyDescent="0.25">
      <c r="C186" s="198"/>
      <c r="G186" s="167"/>
      <c r="H186" s="1"/>
      <c r="I186" s="250">
        <f>SUM('[2]сделать 2024 юля'!$F$215)</f>
        <v>1907112.34</v>
      </c>
      <c r="J186" s="250">
        <f>SUM(J18+J59+J81+J97+J112+J127+J129+J144+J155+J169+J170+J181)</f>
        <v>0</v>
      </c>
    </row>
    <row r="187" spans="2:11" ht="46.35" customHeight="1" x14ac:dyDescent="0.25">
      <c r="B187" s="324" t="s">
        <v>383</v>
      </c>
      <c r="C187" s="324"/>
      <c r="D187" s="324"/>
      <c r="E187" s="324"/>
      <c r="F187" s="324"/>
      <c r="G187" s="324"/>
      <c r="H187" s="324"/>
      <c r="I187" s="324"/>
      <c r="J187" s="324"/>
      <c r="K187" s="324"/>
    </row>
    <row r="189" spans="2:11" ht="34.5" customHeight="1" x14ac:dyDescent="0.25">
      <c r="B189" s="174" t="s">
        <v>384</v>
      </c>
    </row>
    <row r="190" spans="2:11" ht="34.5" customHeight="1" x14ac:dyDescent="0.25">
      <c r="B190" s="174"/>
    </row>
    <row r="191" spans="2:11" ht="34.5" customHeight="1" x14ac:dyDescent="0.25">
      <c r="B191" s="46" t="s">
        <v>101</v>
      </c>
      <c r="C191" s="47" t="s">
        <v>102</v>
      </c>
      <c r="D191" s="47" t="s">
        <v>103</v>
      </c>
      <c r="E191" s="47" t="s">
        <v>104</v>
      </c>
    </row>
    <row r="192" spans="2:11" ht="92.65" customHeight="1" x14ac:dyDescent="0.25">
      <c r="B192" s="48" t="s">
        <v>374</v>
      </c>
      <c r="C192" s="49">
        <f>SUM([2]Лист7!B2)</f>
        <v>7850144.4400000004</v>
      </c>
      <c r="D192" s="49">
        <v>4497957.3899999997</v>
      </c>
      <c r="E192" s="49">
        <f>SUM(C192:D192)</f>
        <v>12348101.83</v>
      </c>
      <c r="F192" s="1"/>
      <c r="G192" s="1"/>
      <c r="H192" s="1"/>
    </row>
    <row r="193" spans="2:14" ht="88.35" customHeight="1" x14ac:dyDescent="0.25">
      <c r="B193" s="48" t="s">
        <v>375</v>
      </c>
      <c r="C193" s="49">
        <f>SUM([2]Лист7!H2)</f>
        <v>2370743.6208799998</v>
      </c>
      <c r="D193" s="49">
        <v>1358383.13</v>
      </c>
      <c r="E193" s="49">
        <f>SUM(C193:D193)</f>
        <v>3729126.7508799997</v>
      </c>
    </row>
    <row r="194" spans="2:14" ht="42.6" customHeight="1" x14ac:dyDescent="0.25">
      <c r="B194" s="219" t="s">
        <v>351</v>
      </c>
      <c r="C194" s="49">
        <v>185103.02</v>
      </c>
      <c r="D194" s="49"/>
      <c r="E194" s="49">
        <f>SUM(C194:D194)</f>
        <v>185103.02</v>
      </c>
    </row>
    <row r="195" spans="2:14" ht="34.5" customHeight="1" x14ac:dyDescent="0.25">
      <c r="B195" s="50" t="s">
        <v>105</v>
      </c>
      <c r="C195" s="49"/>
      <c r="D195" s="49">
        <f>-3386361.99+0.29-0.2</f>
        <v>-3386361.9000000004</v>
      </c>
      <c r="E195" s="49">
        <f>SUM(C195:D195)</f>
        <v>-3386361.9000000004</v>
      </c>
    </row>
    <row r="196" spans="2:14" ht="34.5" customHeight="1" x14ac:dyDescent="0.25">
      <c r="B196" s="50" t="s">
        <v>106</v>
      </c>
      <c r="C196" s="49">
        <f>55900.11+0.99</f>
        <v>55901.1</v>
      </c>
      <c r="D196" s="49">
        <f>-1022681.32-0.99</f>
        <v>-1022682.3099999999</v>
      </c>
      <c r="E196" s="49">
        <f>SUM(C196:D196)</f>
        <v>-966781.21</v>
      </c>
      <c r="F196" s="1"/>
      <c r="G196" s="1"/>
      <c r="H196" s="1"/>
    </row>
    <row r="197" spans="2:14" ht="34.5" customHeight="1" x14ac:dyDescent="0.25">
      <c r="B197" s="50"/>
      <c r="C197" s="49"/>
      <c r="D197" s="49"/>
      <c r="E197" s="49"/>
    </row>
    <row r="198" spans="2:14" ht="34.5" customHeight="1" x14ac:dyDescent="0.25">
      <c r="B198" s="50"/>
      <c r="C198" s="52">
        <f>SUM(C192:C197)</f>
        <v>10461892.180879999</v>
      </c>
      <c r="D198" s="52">
        <f>SUM(D192:D197)</f>
        <v>1447296.3099999991</v>
      </c>
      <c r="E198" s="52">
        <f>SUM(C198:D198)</f>
        <v>11909188.490879998</v>
      </c>
      <c r="F198" s="1"/>
      <c r="G198" s="1"/>
      <c r="I198" s="1">
        <f>SUM('расчет подушевого 2024'!C59:C60)</f>
        <v>11909188.49</v>
      </c>
    </row>
    <row r="199" spans="2:14" ht="34.5" customHeight="1" x14ac:dyDescent="0.25">
      <c r="B199" s="174"/>
      <c r="I199" s="1">
        <f>SUM(I14+I198)</f>
        <v>133100662.99999999</v>
      </c>
    </row>
    <row r="200" spans="2:14" ht="34.5" customHeight="1" x14ac:dyDescent="0.25">
      <c r="B200" s="174" t="s">
        <v>360</v>
      </c>
      <c r="C200" s="176"/>
      <c r="D200" s="176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</row>
    <row r="202" spans="2:14" ht="34.5" customHeight="1" x14ac:dyDescent="0.25">
      <c r="B202" s="55" t="s">
        <v>107</v>
      </c>
      <c r="C202" s="55" t="s">
        <v>170</v>
      </c>
      <c r="D202" s="55" t="s">
        <v>127</v>
      </c>
      <c r="E202" s="55" t="s">
        <v>128</v>
      </c>
      <c r="F202" s="247" t="s">
        <v>229</v>
      </c>
      <c r="G202" s="135"/>
    </row>
    <row r="203" spans="2:14" ht="34.5" customHeight="1" x14ac:dyDescent="0.25">
      <c r="B203" s="55">
        <v>1</v>
      </c>
      <c r="C203" s="55">
        <v>2</v>
      </c>
      <c r="D203" s="55">
        <v>3</v>
      </c>
      <c r="E203" s="136">
        <v>4</v>
      </c>
      <c r="F203" s="145">
        <v>5</v>
      </c>
      <c r="G203" s="137"/>
    </row>
    <row r="204" spans="2:14" ht="34.5" customHeight="1" x14ac:dyDescent="0.25">
      <c r="B204" s="326" t="s">
        <v>112</v>
      </c>
      <c r="C204" s="326"/>
      <c r="D204" s="55"/>
      <c r="E204" s="136"/>
      <c r="F204" s="145"/>
      <c r="G204" s="137"/>
    </row>
    <row r="205" spans="2:14" ht="34.5" customHeight="1" x14ac:dyDescent="0.25">
      <c r="B205" s="65" t="s">
        <v>230</v>
      </c>
      <c r="C205" s="82" t="s">
        <v>163</v>
      </c>
      <c r="D205" s="83">
        <v>1</v>
      </c>
      <c r="E205" s="302">
        <f>78500.53-43248.85</f>
        <v>35251.68</v>
      </c>
      <c r="F205" s="224">
        <f>SUM(D205*E205)</f>
        <v>35251.68</v>
      </c>
      <c r="G205" s="139"/>
      <c r="H205" s="195"/>
    </row>
    <row r="206" spans="2:14" ht="34.5" customHeight="1" x14ac:dyDescent="0.25">
      <c r="B206" s="65" t="s">
        <v>231</v>
      </c>
      <c r="C206" s="82" t="s">
        <v>163</v>
      </c>
      <c r="D206" s="83">
        <v>0</v>
      </c>
      <c r="E206" s="67">
        <v>0</v>
      </c>
      <c r="F206" s="224">
        <f>SUM(D206*E206)</f>
        <v>0</v>
      </c>
      <c r="G206" s="177"/>
    </row>
    <row r="207" spans="2:14" ht="34.5" customHeight="1" x14ac:dyDescent="0.25">
      <c r="B207" s="329" t="s">
        <v>104</v>
      </c>
      <c r="C207" s="329"/>
      <c r="D207" s="57"/>
      <c r="E207" s="57"/>
      <c r="F207" s="274">
        <f>SUM(F205:F206)</f>
        <v>35251.68</v>
      </c>
      <c r="G207" s="69"/>
    </row>
    <row r="208" spans="2:14" ht="34.5" customHeight="1" x14ac:dyDescent="0.25">
      <c r="B208" s="326" t="s">
        <v>124</v>
      </c>
      <c r="C208" s="326"/>
      <c r="G208" s="15"/>
    </row>
    <row r="209" spans="2:8" ht="34.5" customHeight="1" x14ac:dyDescent="0.25">
      <c r="B209" s="64" t="s">
        <v>216</v>
      </c>
      <c r="C209" s="82"/>
      <c r="D209" s="83"/>
      <c r="E209" s="88"/>
      <c r="F209" s="262"/>
      <c r="G209" s="144"/>
    </row>
    <row r="210" spans="2:8" ht="34.5" customHeight="1" x14ac:dyDescent="0.25">
      <c r="B210" s="48" t="s">
        <v>232</v>
      </c>
      <c r="C210" s="82" t="s">
        <v>196</v>
      </c>
      <c r="D210" s="79">
        <v>1</v>
      </c>
      <c r="E210" s="169">
        <v>5600</v>
      </c>
      <c r="F210" s="169">
        <f t="shared" ref="F210:F217" si="5">D210*E210</f>
        <v>5600</v>
      </c>
      <c r="G210" s="161"/>
      <c r="H210" s="196"/>
    </row>
    <row r="211" spans="2:8" ht="34.5" customHeight="1" x14ac:dyDescent="0.25">
      <c r="B211" s="48" t="s">
        <v>233</v>
      </c>
      <c r="C211" s="82" t="s">
        <v>196</v>
      </c>
      <c r="D211" s="79">
        <v>2</v>
      </c>
      <c r="E211" s="169">
        <v>5775</v>
      </c>
      <c r="F211" s="169">
        <f t="shared" si="5"/>
        <v>11550</v>
      </c>
      <c r="G211" s="161"/>
      <c r="H211" s="196"/>
    </row>
    <row r="212" spans="2:8" ht="34.5" customHeight="1" x14ac:dyDescent="0.25">
      <c r="B212" s="48" t="s">
        <v>234</v>
      </c>
      <c r="C212" s="82" t="s">
        <v>196</v>
      </c>
      <c r="D212" s="79">
        <v>1</v>
      </c>
      <c r="E212" s="169">
        <v>9000</v>
      </c>
      <c r="F212" s="169">
        <f t="shared" si="5"/>
        <v>9000</v>
      </c>
      <c r="G212" s="161"/>
      <c r="H212" s="196"/>
    </row>
    <row r="213" spans="2:8" ht="34.5" customHeight="1" x14ac:dyDescent="0.25">
      <c r="B213" s="48" t="s">
        <v>235</v>
      </c>
      <c r="C213" s="82" t="s">
        <v>196</v>
      </c>
      <c r="D213" s="79">
        <v>2</v>
      </c>
      <c r="E213" s="169">
        <v>11550</v>
      </c>
      <c r="F213" s="169">
        <f t="shared" si="5"/>
        <v>23100</v>
      </c>
      <c r="G213" s="161"/>
      <c r="H213" s="196"/>
    </row>
    <row r="214" spans="2:8" ht="34.5" customHeight="1" x14ac:dyDescent="0.25">
      <c r="B214" s="48" t="s">
        <v>236</v>
      </c>
      <c r="C214" s="82" t="s">
        <v>196</v>
      </c>
      <c r="D214" s="79">
        <v>1</v>
      </c>
      <c r="E214" s="169">
        <v>1500</v>
      </c>
      <c r="F214" s="169">
        <f t="shared" si="5"/>
        <v>1500</v>
      </c>
      <c r="G214" s="161"/>
      <c r="H214" s="196"/>
    </row>
    <row r="215" spans="2:8" ht="34.5" customHeight="1" x14ac:dyDescent="0.25">
      <c r="B215" s="48" t="s">
        <v>235</v>
      </c>
      <c r="C215" s="82" t="s">
        <v>196</v>
      </c>
      <c r="D215" s="79">
        <v>1</v>
      </c>
      <c r="E215" s="169">
        <v>11550</v>
      </c>
      <c r="F215" s="169">
        <f t="shared" si="5"/>
        <v>11550</v>
      </c>
      <c r="G215" s="161"/>
      <c r="H215" s="196"/>
    </row>
    <row r="216" spans="2:8" ht="34.5" customHeight="1" x14ac:dyDescent="0.25">
      <c r="B216" s="48" t="s">
        <v>237</v>
      </c>
      <c r="C216" s="82" t="s">
        <v>196</v>
      </c>
      <c r="D216" s="79">
        <v>1</v>
      </c>
      <c r="E216" s="169">
        <v>6560</v>
      </c>
      <c r="F216" s="169">
        <f t="shared" si="5"/>
        <v>6560</v>
      </c>
      <c r="G216" s="161"/>
      <c r="H216" s="196"/>
    </row>
    <row r="217" spans="2:8" ht="34.5" customHeight="1" x14ac:dyDescent="0.25">
      <c r="B217" s="48" t="s">
        <v>236</v>
      </c>
      <c r="C217" s="82" t="s">
        <v>196</v>
      </c>
      <c r="D217" s="79">
        <v>3</v>
      </c>
      <c r="E217" s="169">
        <v>4500</v>
      </c>
      <c r="F217" s="169">
        <f t="shared" si="5"/>
        <v>13500</v>
      </c>
      <c r="G217" s="161"/>
      <c r="H217" s="196"/>
    </row>
    <row r="218" spans="2:8" ht="34.5" customHeight="1" x14ac:dyDescent="0.25">
      <c r="B218" s="328" t="s">
        <v>158</v>
      </c>
      <c r="C218" s="328"/>
      <c r="D218" s="55"/>
      <c r="E218" s="143"/>
      <c r="F218" s="164">
        <f>SUM(F210:F217)</f>
        <v>82360</v>
      </c>
      <c r="G218" s="144"/>
    </row>
    <row r="219" spans="2:8" ht="34.5" customHeight="1" x14ac:dyDescent="0.25">
      <c r="B219" s="326" t="s">
        <v>112</v>
      </c>
      <c r="C219" s="326"/>
      <c r="D219" s="55"/>
      <c r="E219" s="136"/>
      <c r="F219" s="136"/>
      <c r="G219" s="178"/>
    </row>
    <row r="220" spans="2:8" ht="34.5" customHeight="1" x14ac:dyDescent="0.25">
      <c r="B220" s="65" t="s">
        <v>238</v>
      </c>
      <c r="C220" s="82" t="s">
        <v>163</v>
      </c>
      <c r="D220" s="138">
        <v>1</v>
      </c>
      <c r="E220" s="138">
        <v>55140</v>
      </c>
      <c r="F220" s="88">
        <f>D220*E220</f>
        <v>55140</v>
      </c>
      <c r="G220" s="197"/>
      <c r="H220" s="140"/>
    </row>
    <row r="221" spans="2:8" ht="34.5" customHeight="1" x14ac:dyDescent="0.25">
      <c r="B221" s="328" t="s">
        <v>158</v>
      </c>
      <c r="C221" s="328"/>
      <c r="D221" s="55"/>
      <c r="E221" s="143"/>
      <c r="F221" s="164">
        <f>SUM(F220:F220)</f>
        <v>55140</v>
      </c>
      <c r="G221" s="144"/>
    </row>
    <row r="222" spans="2:8" ht="34.5" customHeight="1" x14ac:dyDescent="0.25">
      <c r="B222" s="326" t="s">
        <v>124</v>
      </c>
      <c r="C222" s="326"/>
      <c r="D222" s="103"/>
      <c r="E222" s="103"/>
      <c r="F222" s="104"/>
      <c r="G222" s="105"/>
    </row>
    <row r="223" spans="2:8" ht="34.5" customHeight="1" x14ac:dyDescent="0.25">
      <c r="B223" s="142" t="s">
        <v>239</v>
      </c>
      <c r="C223" s="82" t="s">
        <v>163</v>
      </c>
      <c r="D223" s="83"/>
      <c r="E223" s="88"/>
      <c r="F223" s="88"/>
      <c r="G223" s="85"/>
    </row>
    <row r="224" spans="2:8" ht="34.5" customHeight="1" x14ac:dyDescent="0.25">
      <c r="B224" s="65" t="s">
        <v>240</v>
      </c>
      <c r="C224" s="82" t="s">
        <v>114</v>
      </c>
      <c r="D224" s="83">
        <v>1</v>
      </c>
      <c r="E224" s="88">
        <v>350</v>
      </c>
      <c r="F224" s="88">
        <f t="shared" ref="F224:F260" si="6">D224*E224</f>
        <v>350</v>
      </c>
      <c r="G224" s="139"/>
      <c r="H224" s="107"/>
    </row>
    <row r="225" spans="2:8" ht="34.5" customHeight="1" x14ac:dyDescent="0.25">
      <c r="B225" s="65" t="s">
        <v>241</v>
      </c>
      <c r="C225" s="82" t="s">
        <v>114</v>
      </c>
      <c r="D225" s="83">
        <v>1</v>
      </c>
      <c r="E225" s="88">
        <v>700</v>
      </c>
      <c r="F225" s="88">
        <f t="shared" si="6"/>
        <v>700</v>
      </c>
      <c r="G225" s="139"/>
      <c r="H225" s="107"/>
    </row>
    <row r="226" spans="2:8" ht="34.5" customHeight="1" x14ac:dyDescent="0.25">
      <c r="B226" s="65" t="s">
        <v>242</v>
      </c>
      <c r="C226" s="82" t="s">
        <v>114</v>
      </c>
      <c r="D226" s="83">
        <v>1</v>
      </c>
      <c r="E226" s="88">
        <v>350</v>
      </c>
      <c r="F226" s="88">
        <f t="shared" si="6"/>
        <v>350</v>
      </c>
      <c r="G226" s="139"/>
      <c r="H226" s="107"/>
    </row>
    <row r="227" spans="2:8" ht="34.5" customHeight="1" x14ac:dyDescent="0.25">
      <c r="B227" s="65" t="s">
        <v>243</v>
      </c>
      <c r="C227" s="82" t="s">
        <v>114</v>
      </c>
      <c r="D227" s="83">
        <v>1</v>
      </c>
      <c r="E227" s="88">
        <v>1400</v>
      </c>
      <c r="F227" s="88">
        <f t="shared" si="6"/>
        <v>1400</v>
      </c>
      <c r="G227" s="139"/>
      <c r="H227" s="107"/>
    </row>
    <row r="228" spans="2:8" ht="34.5" customHeight="1" x14ac:dyDescent="0.25">
      <c r="B228" s="65" t="s">
        <v>244</v>
      </c>
      <c r="C228" s="82" t="s">
        <v>114</v>
      </c>
      <c r="D228" s="83">
        <v>1</v>
      </c>
      <c r="E228" s="88">
        <v>850</v>
      </c>
      <c r="F228" s="88">
        <f t="shared" si="6"/>
        <v>850</v>
      </c>
      <c r="G228" s="139"/>
      <c r="H228" s="107"/>
    </row>
    <row r="229" spans="2:8" ht="66.400000000000006" customHeight="1" x14ac:dyDescent="0.25">
      <c r="B229" s="65" t="s">
        <v>245</v>
      </c>
      <c r="C229" s="82" t="s">
        <v>114</v>
      </c>
      <c r="D229" s="83">
        <v>1</v>
      </c>
      <c r="E229" s="88">
        <v>1600</v>
      </c>
      <c r="F229" s="88">
        <f t="shared" si="6"/>
        <v>1600</v>
      </c>
      <c r="G229" s="139"/>
      <c r="H229" s="107"/>
    </row>
    <row r="230" spans="2:8" ht="66.400000000000006" customHeight="1" x14ac:dyDescent="0.25">
      <c r="B230" s="65" t="s">
        <v>246</v>
      </c>
      <c r="C230" s="82" t="s">
        <v>114</v>
      </c>
      <c r="D230" s="83">
        <v>1</v>
      </c>
      <c r="E230" s="88">
        <v>2080</v>
      </c>
      <c r="F230" s="88">
        <f t="shared" si="6"/>
        <v>2080</v>
      </c>
      <c r="G230" s="139"/>
      <c r="H230" s="107"/>
    </row>
    <row r="231" spans="2:8" ht="65.099999999999994" customHeight="1" x14ac:dyDescent="0.25">
      <c r="B231" s="65" t="s">
        <v>247</v>
      </c>
      <c r="C231" s="82" t="s">
        <v>114</v>
      </c>
      <c r="D231" s="83">
        <v>1</v>
      </c>
      <c r="E231" s="88">
        <v>600</v>
      </c>
      <c r="F231" s="88">
        <f t="shared" si="6"/>
        <v>600</v>
      </c>
      <c r="G231" s="139"/>
      <c r="H231" s="107"/>
    </row>
    <row r="232" spans="2:8" ht="53.85" customHeight="1" x14ac:dyDescent="0.25">
      <c r="B232" s="65" t="s">
        <v>248</v>
      </c>
      <c r="C232" s="82" t="s">
        <v>114</v>
      </c>
      <c r="D232" s="83">
        <v>1</v>
      </c>
      <c r="E232" s="88">
        <v>1500</v>
      </c>
      <c r="F232" s="88">
        <f t="shared" si="6"/>
        <v>1500</v>
      </c>
      <c r="G232" s="139"/>
      <c r="H232" s="107"/>
    </row>
    <row r="233" spans="2:8" ht="65.849999999999994" customHeight="1" x14ac:dyDescent="0.25">
      <c r="B233" s="65" t="s">
        <v>249</v>
      </c>
      <c r="C233" s="82" t="s">
        <v>114</v>
      </c>
      <c r="D233" s="83">
        <v>1</v>
      </c>
      <c r="E233" s="88">
        <v>850</v>
      </c>
      <c r="F233" s="88">
        <f t="shared" si="6"/>
        <v>850</v>
      </c>
      <c r="G233" s="139"/>
      <c r="H233" s="107"/>
    </row>
    <row r="234" spans="2:8" ht="60.4" customHeight="1" x14ac:dyDescent="0.25">
      <c r="B234" s="65" t="s">
        <v>250</v>
      </c>
      <c r="C234" s="82" t="s">
        <v>114</v>
      </c>
      <c r="D234" s="83">
        <v>3</v>
      </c>
      <c r="E234" s="88">
        <v>500</v>
      </c>
      <c r="F234" s="88">
        <f t="shared" si="6"/>
        <v>1500</v>
      </c>
      <c r="G234" s="139"/>
      <c r="H234" s="107"/>
    </row>
    <row r="235" spans="2:8" ht="34.5" customHeight="1" x14ac:dyDescent="0.25">
      <c r="B235" s="65" t="s">
        <v>251</v>
      </c>
      <c r="C235" s="82" t="s">
        <v>114</v>
      </c>
      <c r="D235" s="83">
        <v>2</v>
      </c>
      <c r="E235" s="88">
        <v>400</v>
      </c>
      <c r="F235" s="88">
        <f t="shared" si="6"/>
        <v>800</v>
      </c>
      <c r="G235" s="139"/>
      <c r="H235" s="107"/>
    </row>
    <row r="236" spans="2:8" ht="34.5" customHeight="1" x14ac:dyDescent="0.25">
      <c r="B236" s="65" t="s">
        <v>252</v>
      </c>
      <c r="C236" s="82" t="s">
        <v>114</v>
      </c>
      <c r="D236" s="83">
        <v>1</v>
      </c>
      <c r="E236" s="88">
        <v>500</v>
      </c>
      <c r="F236" s="88">
        <f t="shared" si="6"/>
        <v>500</v>
      </c>
      <c r="G236" s="139"/>
      <c r="H236" s="107"/>
    </row>
    <row r="237" spans="2:8" ht="34.5" customHeight="1" x14ac:dyDescent="0.25">
      <c r="B237" s="65" t="s">
        <v>243</v>
      </c>
      <c r="C237" s="82" t="s">
        <v>114</v>
      </c>
      <c r="D237" s="83">
        <v>1</v>
      </c>
      <c r="E237" s="88">
        <v>1400</v>
      </c>
      <c r="F237" s="88">
        <f t="shared" si="6"/>
        <v>1400</v>
      </c>
      <c r="G237" s="139"/>
      <c r="H237" s="107"/>
    </row>
    <row r="238" spans="2:8" ht="63.2" customHeight="1" x14ac:dyDescent="0.25">
      <c r="B238" s="65" t="s">
        <v>248</v>
      </c>
      <c r="C238" s="82" t="s">
        <v>114</v>
      </c>
      <c r="D238" s="83">
        <v>1</v>
      </c>
      <c r="E238" s="88">
        <v>1500</v>
      </c>
      <c r="F238" s="88">
        <f t="shared" si="6"/>
        <v>1500</v>
      </c>
      <c r="G238" s="139"/>
      <c r="H238" s="107"/>
    </row>
    <row r="239" spans="2:8" ht="65.099999999999994" customHeight="1" x14ac:dyDescent="0.25">
      <c r="B239" s="65" t="s">
        <v>253</v>
      </c>
      <c r="C239" s="82" t="s">
        <v>114</v>
      </c>
      <c r="D239" s="83">
        <v>2</v>
      </c>
      <c r="E239" s="88">
        <v>700</v>
      </c>
      <c r="F239" s="88">
        <f t="shared" si="6"/>
        <v>1400</v>
      </c>
      <c r="G239" s="139"/>
      <c r="H239" s="107"/>
    </row>
    <row r="240" spans="2:8" ht="34.5" customHeight="1" x14ac:dyDescent="0.25">
      <c r="B240" s="65" t="s">
        <v>254</v>
      </c>
      <c r="C240" s="82" t="s">
        <v>114</v>
      </c>
      <c r="D240" s="83">
        <v>3</v>
      </c>
      <c r="E240" s="88">
        <v>400</v>
      </c>
      <c r="F240" s="88">
        <f t="shared" si="6"/>
        <v>1200</v>
      </c>
      <c r="G240" s="139"/>
      <c r="H240" s="107"/>
    </row>
    <row r="241" spans="2:8" ht="34.5" customHeight="1" x14ac:dyDescent="0.25">
      <c r="B241" s="65" t="s">
        <v>255</v>
      </c>
      <c r="C241" s="82" t="s">
        <v>114</v>
      </c>
      <c r="D241" s="83">
        <v>1</v>
      </c>
      <c r="E241" s="88">
        <v>1300</v>
      </c>
      <c r="F241" s="88">
        <f t="shared" si="6"/>
        <v>1300</v>
      </c>
      <c r="G241" s="139"/>
      <c r="H241" s="107"/>
    </row>
    <row r="242" spans="2:8" ht="65.099999999999994" customHeight="1" x14ac:dyDescent="0.25">
      <c r="B242" s="65" t="s">
        <v>240</v>
      </c>
      <c r="C242" s="82" t="s">
        <v>114</v>
      </c>
      <c r="D242" s="83">
        <v>1</v>
      </c>
      <c r="E242" s="88">
        <v>450</v>
      </c>
      <c r="F242" s="88">
        <f t="shared" si="6"/>
        <v>450</v>
      </c>
      <c r="G242" s="139"/>
      <c r="H242" s="107"/>
    </row>
    <row r="243" spans="2:8" ht="59.45" customHeight="1" x14ac:dyDescent="0.25">
      <c r="B243" s="65" t="s">
        <v>256</v>
      </c>
      <c r="C243" s="82" t="s">
        <v>114</v>
      </c>
      <c r="D243" s="83">
        <v>1</v>
      </c>
      <c r="E243" s="88">
        <v>1450</v>
      </c>
      <c r="F243" s="88">
        <f t="shared" si="6"/>
        <v>1450</v>
      </c>
      <c r="G243" s="139"/>
      <c r="H243" s="107"/>
    </row>
    <row r="244" spans="2:8" ht="34.5" customHeight="1" x14ac:dyDescent="0.25">
      <c r="B244" s="65" t="s">
        <v>242</v>
      </c>
      <c r="C244" s="82" t="s">
        <v>114</v>
      </c>
      <c r="D244" s="83">
        <v>1</v>
      </c>
      <c r="E244" s="88">
        <v>450</v>
      </c>
      <c r="F244" s="88">
        <f t="shared" si="6"/>
        <v>450</v>
      </c>
      <c r="G244" s="139"/>
      <c r="H244" s="107"/>
    </row>
    <row r="245" spans="2:8" ht="34.5" customHeight="1" x14ac:dyDescent="0.25">
      <c r="B245" s="65" t="s">
        <v>257</v>
      </c>
      <c r="C245" s="82" t="s">
        <v>114</v>
      </c>
      <c r="D245" s="83">
        <v>1</v>
      </c>
      <c r="E245" s="88">
        <v>450</v>
      </c>
      <c r="F245" s="88">
        <f t="shared" si="6"/>
        <v>450</v>
      </c>
      <c r="G245" s="139"/>
      <c r="H245" s="107"/>
    </row>
    <row r="246" spans="2:8" ht="34.5" customHeight="1" x14ac:dyDescent="0.25">
      <c r="B246" s="65" t="s">
        <v>258</v>
      </c>
      <c r="C246" s="82" t="s">
        <v>114</v>
      </c>
      <c r="D246" s="83">
        <v>1</v>
      </c>
      <c r="E246" s="88">
        <v>500</v>
      </c>
      <c r="F246" s="88">
        <f t="shared" si="6"/>
        <v>500</v>
      </c>
      <c r="G246" s="139"/>
      <c r="H246" s="107"/>
    </row>
    <row r="247" spans="2:8" ht="34.5" customHeight="1" x14ac:dyDescent="0.25">
      <c r="B247" s="65" t="s">
        <v>259</v>
      </c>
      <c r="C247" s="82" t="s">
        <v>114</v>
      </c>
      <c r="D247" s="83">
        <v>2</v>
      </c>
      <c r="E247" s="88">
        <v>450</v>
      </c>
      <c r="F247" s="88">
        <f t="shared" si="6"/>
        <v>900</v>
      </c>
      <c r="G247" s="139"/>
      <c r="H247" s="107"/>
    </row>
    <row r="248" spans="2:8" ht="34.5" customHeight="1" x14ac:dyDescent="0.25">
      <c r="B248" s="65" t="s">
        <v>260</v>
      </c>
      <c r="C248" s="82" t="s">
        <v>114</v>
      </c>
      <c r="D248" s="83">
        <v>1</v>
      </c>
      <c r="E248" s="88">
        <v>1400</v>
      </c>
      <c r="F248" s="88">
        <f t="shared" si="6"/>
        <v>1400</v>
      </c>
      <c r="G248" s="139"/>
      <c r="H248" s="107"/>
    </row>
    <row r="249" spans="2:8" ht="34.5" customHeight="1" x14ac:dyDescent="0.25">
      <c r="B249" s="65" t="s">
        <v>261</v>
      </c>
      <c r="C249" s="82" t="s">
        <v>114</v>
      </c>
      <c r="D249" s="83">
        <v>1</v>
      </c>
      <c r="E249" s="88">
        <v>750</v>
      </c>
      <c r="F249" s="88">
        <f t="shared" si="6"/>
        <v>750</v>
      </c>
      <c r="G249" s="139"/>
      <c r="H249" s="107"/>
    </row>
    <row r="250" spans="2:8" ht="34.5" customHeight="1" x14ac:dyDescent="0.25">
      <c r="B250" s="65" t="s">
        <v>262</v>
      </c>
      <c r="C250" s="82" t="s">
        <v>114</v>
      </c>
      <c r="D250" s="83">
        <v>2</v>
      </c>
      <c r="E250" s="88">
        <v>1600</v>
      </c>
      <c r="F250" s="88">
        <f t="shared" si="6"/>
        <v>3200</v>
      </c>
      <c r="G250" s="139"/>
      <c r="H250" s="107"/>
    </row>
    <row r="251" spans="2:8" ht="34.5" customHeight="1" x14ac:dyDescent="0.25">
      <c r="B251" s="65" t="s">
        <v>263</v>
      </c>
      <c r="C251" s="82" t="s">
        <v>114</v>
      </c>
      <c r="D251" s="83">
        <v>1</v>
      </c>
      <c r="E251" s="88">
        <v>300</v>
      </c>
      <c r="F251" s="88">
        <f t="shared" si="6"/>
        <v>300</v>
      </c>
      <c r="G251" s="139"/>
      <c r="H251" s="107"/>
    </row>
    <row r="252" spans="2:8" ht="34.5" customHeight="1" x14ac:dyDescent="0.25">
      <c r="B252" s="65" t="s">
        <v>264</v>
      </c>
      <c r="C252" s="82" t="s">
        <v>114</v>
      </c>
      <c r="D252" s="83">
        <v>1</v>
      </c>
      <c r="E252" s="88">
        <v>6500</v>
      </c>
      <c r="F252" s="88">
        <f t="shared" si="6"/>
        <v>6500</v>
      </c>
      <c r="G252" s="139"/>
      <c r="H252" s="107"/>
    </row>
    <row r="253" spans="2:8" ht="34.5" customHeight="1" x14ac:dyDescent="0.25">
      <c r="B253" s="65" t="s">
        <v>265</v>
      </c>
      <c r="C253" s="82" t="s">
        <v>114</v>
      </c>
      <c r="D253" s="83">
        <v>1</v>
      </c>
      <c r="E253" s="88">
        <v>500</v>
      </c>
      <c r="F253" s="88">
        <f t="shared" si="6"/>
        <v>500</v>
      </c>
      <c r="G253" s="139"/>
      <c r="H253" s="107"/>
    </row>
    <row r="254" spans="2:8" ht="34.5" customHeight="1" x14ac:dyDescent="0.25">
      <c r="B254" s="65" t="s">
        <v>266</v>
      </c>
      <c r="C254" s="82" t="s">
        <v>114</v>
      </c>
      <c r="D254" s="83">
        <v>1</v>
      </c>
      <c r="E254" s="88">
        <v>450</v>
      </c>
      <c r="F254" s="88">
        <f t="shared" si="6"/>
        <v>450</v>
      </c>
      <c r="G254" s="139"/>
      <c r="H254" s="107"/>
    </row>
    <row r="255" spans="2:8" ht="34.5" customHeight="1" x14ac:dyDescent="0.25">
      <c r="B255" s="65" t="s">
        <v>267</v>
      </c>
      <c r="C255" s="82" t="s">
        <v>114</v>
      </c>
      <c r="D255" s="83">
        <v>3</v>
      </c>
      <c r="E255" s="88">
        <v>400</v>
      </c>
      <c r="F255" s="88">
        <f t="shared" si="6"/>
        <v>1200</v>
      </c>
      <c r="G255" s="139"/>
      <c r="H255" s="107"/>
    </row>
    <row r="256" spans="2:8" ht="34.5" customHeight="1" x14ac:dyDescent="0.25">
      <c r="B256" s="65" t="s">
        <v>264</v>
      </c>
      <c r="C256" s="82" t="s">
        <v>114</v>
      </c>
      <c r="D256" s="83">
        <v>1</v>
      </c>
      <c r="E256" s="88">
        <f>6350-2306.34-297</f>
        <v>3746.66</v>
      </c>
      <c r="F256" s="88">
        <f t="shared" si="6"/>
        <v>3746.66</v>
      </c>
      <c r="G256" s="139"/>
      <c r="H256" s="107"/>
    </row>
    <row r="257" spans="2:8" ht="34.5" customHeight="1" x14ac:dyDescent="0.25">
      <c r="B257" s="65" t="s">
        <v>268</v>
      </c>
      <c r="C257" s="82" t="s">
        <v>114</v>
      </c>
      <c r="D257" s="83">
        <v>1</v>
      </c>
      <c r="E257" s="88">
        <v>2000</v>
      </c>
      <c r="F257" s="88">
        <f t="shared" si="6"/>
        <v>2000</v>
      </c>
      <c r="G257" s="139"/>
      <c r="H257" s="107"/>
    </row>
    <row r="258" spans="2:8" ht="34.5" customHeight="1" x14ac:dyDescent="0.25">
      <c r="B258" s="65" t="s">
        <v>269</v>
      </c>
      <c r="C258" s="82" t="s">
        <v>114</v>
      </c>
      <c r="D258" s="83">
        <v>1</v>
      </c>
      <c r="E258" s="88">
        <v>650</v>
      </c>
      <c r="F258" s="88">
        <f t="shared" si="6"/>
        <v>650</v>
      </c>
      <c r="G258" s="139"/>
      <c r="H258" s="107"/>
    </row>
    <row r="259" spans="2:8" ht="34.5" customHeight="1" x14ac:dyDescent="0.25">
      <c r="B259" s="65" t="s">
        <v>270</v>
      </c>
      <c r="C259" s="82" t="s">
        <v>114</v>
      </c>
      <c r="D259" s="83">
        <v>1</v>
      </c>
      <c r="E259" s="88">
        <v>1450</v>
      </c>
      <c r="F259" s="88">
        <f t="shared" si="6"/>
        <v>1450</v>
      </c>
      <c r="G259" s="139"/>
      <c r="H259" s="107"/>
    </row>
    <row r="260" spans="2:8" ht="34.5" customHeight="1" x14ac:dyDescent="0.25">
      <c r="B260" s="65" t="s">
        <v>271</v>
      </c>
      <c r="C260" s="82" t="s">
        <v>114</v>
      </c>
      <c r="D260" s="83">
        <v>1</v>
      </c>
      <c r="E260" s="88">
        <v>1400</v>
      </c>
      <c r="F260" s="88">
        <f t="shared" si="6"/>
        <v>1400</v>
      </c>
      <c r="G260" s="139"/>
      <c r="H260" s="107"/>
    </row>
    <row r="261" spans="2:8" ht="34.5" customHeight="1" x14ac:dyDescent="0.25">
      <c r="B261" s="327" t="s">
        <v>158</v>
      </c>
      <c r="C261" s="327"/>
      <c r="D261" s="115"/>
      <c r="E261" s="115"/>
      <c r="F261" s="134">
        <f>SUM(F224:F260)</f>
        <v>47626.66</v>
      </c>
      <c r="G261" s="181"/>
    </row>
    <row r="262" spans="2:8" ht="34.5" customHeight="1" x14ac:dyDescent="0.25">
      <c r="B262" s="326" t="s">
        <v>112</v>
      </c>
      <c r="C262" s="326"/>
      <c r="D262" s="55"/>
      <c r="E262" s="136"/>
      <c r="F262" s="136"/>
      <c r="G262" s="137"/>
    </row>
    <row r="263" spans="2:8" ht="60.75" customHeight="1" x14ac:dyDescent="0.25">
      <c r="B263" s="65" t="s">
        <v>272</v>
      </c>
      <c r="C263" s="82"/>
      <c r="D263" s="83"/>
      <c r="E263" s="138"/>
      <c r="F263" s="88"/>
      <c r="G263" s="85"/>
    </row>
    <row r="264" spans="2:8" ht="34.5" customHeight="1" x14ac:dyDescent="0.25">
      <c r="B264" s="64" t="s">
        <v>273</v>
      </c>
      <c r="C264" s="82" t="s">
        <v>274</v>
      </c>
      <c r="D264" s="83">
        <v>2</v>
      </c>
      <c r="E264" s="138">
        <v>4594.66</v>
      </c>
      <c r="F264" s="257">
        <f>E264*D264</f>
        <v>9189.32</v>
      </c>
      <c r="G264" s="139"/>
      <c r="H264" s="140"/>
    </row>
    <row r="265" spans="2:8" ht="34.5" customHeight="1" x14ac:dyDescent="0.25">
      <c r="B265" s="64" t="s">
        <v>275</v>
      </c>
      <c r="C265" s="82" t="s">
        <v>274</v>
      </c>
      <c r="D265" s="83">
        <v>2</v>
      </c>
      <c r="E265" s="138">
        <v>1307.9000000000001</v>
      </c>
      <c r="F265" s="257">
        <f>E265*D265</f>
        <v>2615.8000000000002</v>
      </c>
      <c r="G265" s="139"/>
      <c r="H265" s="140"/>
    </row>
    <row r="266" spans="2:8" ht="34.5" customHeight="1" x14ac:dyDescent="0.25">
      <c r="B266" s="64" t="s">
        <v>276</v>
      </c>
      <c r="C266" s="82" t="s">
        <v>274</v>
      </c>
      <c r="D266" s="83">
        <v>2</v>
      </c>
      <c r="E266" s="138">
        <v>995.25</v>
      </c>
      <c r="F266" s="257">
        <f>E266*D266</f>
        <v>1990.5</v>
      </c>
      <c r="G266" s="139"/>
      <c r="H266" s="140"/>
    </row>
    <row r="267" spans="2:8" ht="34.5" customHeight="1" x14ac:dyDescent="0.25">
      <c r="B267" s="64" t="s">
        <v>277</v>
      </c>
      <c r="C267" s="82" t="s">
        <v>274</v>
      </c>
      <c r="D267" s="83">
        <v>2</v>
      </c>
      <c r="E267" s="138">
        <v>2714.28</v>
      </c>
      <c r="F267" s="257">
        <f>E267*D267</f>
        <v>5428.56</v>
      </c>
      <c r="G267" s="139"/>
      <c r="H267" s="140"/>
    </row>
    <row r="268" spans="2:8" ht="34.5" customHeight="1" x14ac:dyDescent="0.25">
      <c r="B268" s="65" t="s">
        <v>278</v>
      </c>
      <c r="C268" s="82" t="s">
        <v>274</v>
      </c>
      <c r="D268" s="83">
        <v>2</v>
      </c>
      <c r="E268" s="138">
        <v>7241.55</v>
      </c>
      <c r="F268" s="257">
        <f>E268*D268+0.34-1</f>
        <v>14482.44</v>
      </c>
      <c r="G268" s="139"/>
      <c r="H268" s="140"/>
    </row>
    <row r="269" spans="2:8" ht="34.5" customHeight="1" x14ac:dyDescent="0.25">
      <c r="B269" s="65" t="s">
        <v>279</v>
      </c>
      <c r="C269" s="82" t="s">
        <v>274</v>
      </c>
      <c r="D269" s="83">
        <v>2</v>
      </c>
      <c r="E269" s="138">
        <v>4926.84</v>
      </c>
      <c r="F269" s="257">
        <f>E269*D269</f>
        <v>9853.68</v>
      </c>
      <c r="G269" s="139"/>
      <c r="H269" s="140"/>
    </row>
    <row r="270" spans="2:8" ht="31.9" customHeight="1" x14ac:dyDescent="0.25">
      <c r="B270" s="163" t="s">
        <v>104</v>
      </c>
      <c r="C270" s="82"/>
      <c r="D270" s="83"/>
      <c r="E270" s="138"/>
      <c r="F270" s="164">
        <f>F264+F265+F266+F267+F268+F269</f>
        <v>43560.3</v>
      </c>
      <c r="G270" s="144"/>
    </row>
    <row r="271" spans="2:8" ht="34.5" hidden="1" customHeight="1" x14ac:dyDescent="0.25"/>
    <row r="272" spans="2:8" ht="34.5" hidden="1" customHeight="1" x14ac:dyDescent="0.25">
      <c r="B272" s="55" t="s">
        <v>107</v>
      </c>
      <c r="C272" s="55" t="s">
        <v>170</v>
      </c>
      <c r="D272" s="55" t="s">
        <v>127</v>
      </c>
      <c r="E272" s="55" t="s">
        <v>128</v>
      </c>
      <c r="F272" s="55" t="s">
        <v>229</v>
      </c>
      <c r="G272" s="135"/>
    </row>
    <row r="273" spans="2:8" ht="34.5" hidden="1" customHeight="1" x14ac:dyDescent="0.25">
      <c r="B273" s="82">
        <v>1</v>
      </c>
      <c r="C273" s="55">
        <v>2</v>
      </c>
      <c r="D273" s="55">
        <v>3</v>
      </c>
      <c r="E273" s="136">
        <v>4</v>
      </c>
      <c r="F273" s="136">
        <v>5</v>
      </c>
      <c r="G273" s="178"/>
    </row>
    <row r="274" spans="2:8" ht="34.5" hidden="1" customHeight="1" x14ac:dyDescent="0.25">
      <c r="B274" s="326" t="s">
        <v>112</v>
      </c>
      <c r="C274" s="326"/>
      <c r="D274" s="55"/>
      <c r="E274" s="136"/>
      <c r="F274" s="136"/>
      <c r="G274" s="178"/>
    </row>
    <row r="275" spans="2:8" ht="34.5" hidden="1" customHeight="1" x14ac:dyDescent="0.25">
      <c r="B275" s="64" t="s">
        <v>221</v>
      </c>
      <c r="C275" s="82" t="s">
        <v>222</v>
      </c>
      <c r="D275" s="83">
        <v>9.1999999999999993</v>
      </c>
      <c r="E275" s="138"/>
      <c r="F275" s="83"/>
      <c r="G275" s="139"/>
    </row>
    <row r="276" spans="2:8" ht="34.5" hidden="1" customHeight="1" x14ac:dyDescent="0.25">
      <c r="B276" s="64" t="s">
        <v>223</v>
      </c>
      <c r="C276" s="82" t="s">
        <v>222</v>
      </c>
      <c r="D276" s="83">
        <v>9</v>
      </c>
      <c r="E276" s="138"/>
      <c r="F276" s="83"/>
      <c r="G276" s="139"/>
    </row>
    <row r="277" spans="2:8" ht="34.5" hidden="1" customHeight="1" x14ac:dyDescent="0.25">
      <c r="B277" s="64" t="s">
        <v>224</v>
      </c>
      <c r="C277" s="82"/>
      <c r="D277" s="83">
        <v>2001</v>
      </c>
      <c r="E277" s="138"/>
      <c r="F277" s="132"/>
      <c r="G277" s="139"/>
      <c r="H277" s="140"/>
    </row>
    <row r="278" spans="2:8" ht="34.5" hidden="1" customHeight="1" x14ac:dyDescent="0.25">
      <c r="B278" s="64" t="s">
        <v>224</v>
      </c>
      <c r="C278" s="82"/>
      <c r="D278" s="83"/>
      <c r="E278" s="138"/>
      <c r="F278" s="132">
        <f>D278*E278</f>
        <v>0</v>
      </c>
      <c r="G278" s="139"/>
      <c r="H278" s="140"/>
    </row>
    <row r="279" spans="2:8" ht="34.5" hidden="1" customHeight="1" x14ac:dyDescent="0.25">
      <c r="B279" s="329" t="s">
        <v>104</v>
      </c>
      <c r="C279" s="329"/>
      <c r="D279" s="57"/>
      <c r="E279" s="57"/>
      <c r="F279" s="63">
        <f>SUM(F277:F278)</f>
        <v>0</v>
      </c>
      <c r="G279" s="69"/>
    </row>
    <row r="280" spans="2:8" ht="34.5" hidden="1" customHeight="1" x14ac:dyDescent="0.25">
      <c r="B280" s="326" t="s">
        <v>124</v>
      </c>
      <c r="C280" s="326"/>
      <c r="D280" s="103"/>
      <c r="E280" s="103"/>
      <c r="F280" s="104"/>
      <c r="G280" s="105"/>
    </row>
    <row r="281" spans="2:8" ht="34.5" hidden="1" customHeight="1" x14ac:dyDescent="0.25">
      <c r="B281" s="108" t="s">
        <v>225</v>
      </c>
      <c r="C281" s="82" t="s">
        <v>163</v>
      </c>
      <c r="D281" s="83">
        <v>1</v>
      </c>
      <c r="E281" s="88"/>
      <c r="F281" s="86"/>
      <c r="G281" s="139"/>
      <c r="H281" s="107"/>
    </row>
    <row r="282" spans="2:8" ht="34.5" hidden="1" customHeight="1" x14ac:dyDescent="0.25">
      <c r="B282" s="109" t="s">
        <v>226</v>
      </c>
      <c r="C282" s="103" t="s">
        <v>163</v>
      </c>
      <c r="D282" s="158">
        <v>1</v>
      </c>
      <c r="E282" s="111"/>
      <c r="F282" s="126"/>
      <c r="G282" s="194"/>
      <c r="H282" s="113"/>
    </row>
    <row r="283" spans="2:8" ht="34.5" hidden="1" customHeight="1" x14ac:dyDescent="0.25">
      <c r="B283" s="327" t="s">
        <v>158</v>
      </c>
      <c r="C283" s="327"/>
      <c r="D283" s="115"/>
      <c r="E283" s="115"/>
      <c r="F283" s="134">
        <f>SUM(F281:F282)</f>
        <v>0</v>
      </c>
      <c r="G283" s="181"/>
    </row>
    <row r="284" spans="2:8" ht="32.85" hidden="1" customHeight="1" x14ac:dyDescent="0.25">
      <c r="B284" s="327" t="s">
        <v>99</v>
      </c>
      <c r="C284" s="327"/>
      <c r="D284" s="115"/>
      <c r="E284" s="115"/>
      <c r="F284" s="134">
        <f>SUM(F279+F283)</f>
        <v>0</v>
      </c>
      <c r="G284" s="181"/>
    </row>
    <row r="285" spans="2:8" ht="34.5" hidden="1" customHeight="1" x14ac:dyDescent="0.25"/>
    <row r="286" spans="2:8" ht="34.5" customHeight="1" x14ac:dyDescent="0.25">
      <c r="B286" s="326" t="s">
        <v>112</v>
      </c>
      <c r="C286" s="326"/>
      <c r="D286" s="71"/>
      <c r="E286" s="70"/>
      <c r="F286" s="71"/>
      <c r="G286" s="72"/>
    </row>
    <row r="287" spans="2:8" ht="34.5" customHeight="1" x14ac:dyDescent="0.25">
      <c r="B287" s="73" t="s">
        <v>280</v>
      </c>
      <c r="C287" s="74" t="s">
        <v>114</v>
      </c>
      <c r="D287" s="182">
        <f>60+144+12+60</f>
        <v>276</v>
      </c>
      <c r="E287" s="76">
        <v>15.34</v>
      </c>
      <c r="F287" s="76">
        <f t="shared" ref="F287:F322" si="7">D287*E287</f>
        <v>4233.84</v>
      </c>
      <c r="G287" s="77"/>
    </row>
    <row r="288" spans="2:8" ht="34.5" customHeight="1" x14ac:dyDescent="0.25">
      <c r="B288" s="73" t="s">
        <v>281</v>
      </c>
      <c r="C288" s="74" t="s">
        <v>282</v>
      </c>
      <c r="D288" s="183">
        <f>1+1</f>
        <v>2</v>
      </c>
      <c r="E288" s="76">
        <v>14.85</v>
      </c>
      <c r="F288" s="76">
        <f t="shared" si="7"/>
        <v>29.7</v>
      </c>
      <c r="G288" s="77"/>
    </row>
    <row r="289" spans="2:7" ht="34.5" customHeight="1" x14ac:dyDescent="0.25">
      <c r="B289" s="73" t="s">
        <v>131</v>
      </c>
      <c r="C289" s="74" t="s">
        <v>114</v>
      </c>
      <c r="D289" s="183">
        <f>15+10+30+5+25</f>
        <v>85</v>
      </c>
      <c r="E289" s="76">
        <v>6.59</v>
      </c>
      <c r="F289" s="76">
        <f t="shared" si="7"/>
        <v>560.15</v>
      </c>
      <c r="G289" s="77"/>
    </row>
    <row r="290" spans="2:7" ht="34.5" customHeight="1" x14ac:dyDescent="0.25">
      <c r="B290" s="73" t="s">
        <v>132</v>
      </c>
      <c r="C290" s="74" t="s">
        <v>114</v>
      </c>
      <c r="D290" s="183">
        <f>25</f>
        <v>25</v>
      </c>
      <c r="E290" s="76">
        <v>4.0999999999999996</v>
      </c>
      <c r="F290" s="76">
        <f t="shared" si="7"/>
        <v>102.49999999999999</v>
      </c>
      <c r="G290" s="77"/>
    </row>
    <row r="291" spans="2:7" ht="34.5" customHeight="1" x14ac:dyDescent="0.25">
      <c r="B291" s="73" t="s">
        <v>133</v>
      </c>
      <c r="C291" s="74" t="s">
        <v>114</v>
      </c>
      <c r="D291" s="183">
        <f>3+30+5+25</f>
        <v>63</v>
      </c>
      <c r="E291" s="76">
        <v>7.43</v>
      </c>
      <c r="F291" s="76">
        <f t="shared" si="7"/>
        <v>468.09</v>
      </c>
      <c r="G291" s="77"/>
    </row>
    <row r="292" spans="2:7" ht="34.5" customHeight="1" x14ac:dyDescent="0.25">
      <c r="B292" s="73" t="s">
        <v>134</v>
      </c>
      <c r="C292" s="74" t="s">
        <v>114</v>
      </c>
      <c r="D292" s="183">
        <f>12+2+1+5+5</f>
        <v>25</v>
      </c>
      <c r="E292" s="76">
        <v>54.29</v>
      </c>
      <c r="F292" s="76">
        <f t="shared" si="7"/>
        <v>1357.25</v>
      </c>
      <c r="G292" s="77"/>
    </row>
    <row r="293" spans="2:7" ht="34.5" customHeight="1" x14ac:dyDescent="0.25">
      <c r="B293" s="73" t="s">
        <v>135</v>
      </c>
      <c r="C293" s="74" t="s">
        <v>114</v>
      </c>
      <c r="D293" s="183">
        <f>3+5</f>
        <v>8</v>
      </c>
      <c r="E293" s="76">
        <v>8.08</v>
      </c>
      <c r="F293" s="76">
        <f t="shared" si="7"/>
        <v>64.64</v>
      </c>
      <c r="G293" s="77"/>
    </row>
    <row r="294" spans="2:7" ht="34.5" customHeight="1" x14ac:dyDescent="0.25">
      <c r="B294" s="73" t="s">
        <v>136</v>
      </c>
      <c r="C294" s="74" t="s">
        <v>114</v>
      </c>
      <c r="D294" s="183">
        <f>5</f>
        <v>5</v>
      </c>
      <c r="E294" s="76">
        <v>17.98</v>
      </c>
      <c r="F294" s="76">
        <f t="shared" si="7"/>
        <v>89.9</v>
      </c>
      <c r="G294" s="77"/>
    </row>
    <row r="295" spans="2:7" ht="34.5" customHeight="1" x14ac:dyDescent="0.25">
      <c r="B295" s="73" t="s">
        <v>137</v>
      </c>
      <c r="C295" s="74" t="s">
        <v>114</v>
      </c>
      <c r="D295" s="183">
        <f>3</f>
        <v>3</v>
      </c>
      <c r="E295" s="76">
        <v>44.71</v>
      </c>
      <c r="F295" s="76">
        <f t="shared" si="7"/>
        <v>134.13</v>
      </c>
      <c r="G295" s="77"/>
    </row>
    <row r="296" spans="2:7" ht="34.5" customHeight="1" x14ac:dyDescent="0.25">
      <c r="B296" s="73" t="s">
        <v>138</v>
      </c>
      <c r="C296" s="74" t="s">
        <v>114</v>
      </c>
      <c r="D296" s="183">
        <f>4+8+25</f>
        <v>37</v>
      </c>
      <c r="E296" s="76">
        <v>12.98</v>
      </c>
      <c r="F296" s="76">
        <f t="shared" si="7"/>
        <v>480.26</v>
      </c>
      <c r="G296" s="77"/>
    </row>
    <row r="297" spans="2:7" ht="34.5" customHeight="1" x14ac:dyDescent="0.25">
      <c r="B297" s="73" t="s">
        <v>139</v>
      </c>
      <c r="C297" s="74" t="s">
        <v>114</v>
      </c>
      <c r="D297" s="183">
        <f>11+25</f>
        <v>36</v>
      </c>
      <c r="E297" s="76">
        <v>4.97</v>
      </c>
      <c r="F297" s="76">
        <f t="shared" si="7"/>
        <v>178.92</v>
      </c>
      <c r="G297" s="77"/>
    </row>
    <row r="298" spans="2:7" ht="34.5" customHeight="1" x14ac:dyDescent="0.25">
      <c r="B298" s="73" t="s">
        <v>140</v>
      </c>
      <c r="C298" s="74" t="s">
        <v>114</v>
      </c>
      <c r="D298" s="183"/>
      <c r="E298" s="76">
        <v>73.25</v>
      </c>
      <c r="F298" s="76">
        <f t="shared" si="7"/>
        <v>0</v>
      </c>
      <c r="G298" s="77"/>
    </row>
    <row r="299" spans="2:7" ht="34.5" customHeight="1" x14ac:dyDescent="0.25">
      <c r="B299" s="73" t="s">
        <v>141</v>
      </c>
      <c r="C299" s="74" t="s">
        <v>114</v>
      </c>
      <c r="D299" s="183"/>
      <c r="E299" s="76">
        <v>35.450000000000003</v>
      </c>
      <c r="F299" s="76">
        <f t="shared" si="7"/>
        <v>0</v>
      </c>
      <c r="G299" s="77"/>
    </row>
    <row r="300" spans="2:7" ht="34.5" customHeight="1" x14ac:dyDescent="0.25">
      <c r="B300" s="73" t="s">
        <v>142</v>
      </c>
      <c r="C300" s="74" t="s">
        <v>114</v>
      </c>
      <c r="D300" s="183"/>
      <c r="E300" s="76">
        <v>56</v>
      </c>
      <c r="F300" s="76">
        <f t="shared" si="7"/>
        <v>0</v>
      </c>
      <c r="G300" s="77"/>
    </row>
    <row r="301" spans="2:7" ht="34.5" customHeight="1" x14ac:dyDescent="0.25">
      <c r="B301" s="73" t="s">
        <v>143</v>
      </c>
      <c r="C301" s="74" t="s">
        <v>114</v>
      </c>
      <c r="D301" s="183">
        <f>3+15+15+25</f>
        <v>58</v>
      </c>
      <c r="E301" s="76">
        <v>32.619999999999997</v>
      </c>
      <c r="F301" s="76">
        <f t="shared" si="7"/>
        <v>1891.9599999999998</v>
      </c>
      <c r="G301" s="77"/>
    </row>
    <row r="302" spans="2:7" ht="34.5" customHeight="1" x14ac:dyDescent="0.25">
      <c r="B302" s="73" t="s">
        <v>144</v>
      </c>
      <c r="C302" s="74" t="s">
        <v>114</v>
      </c>
      <c r="D302" s="183">
        <f>5</f>
        <v>5</v>
      </c>
      <c r="E302" s="76">
        <v>48.07</v>
      </c>
      <c r="F302" s="76">
        <f t="shared" si="7"/>
        <v>240.35</v>
      </c>
      <c r="G302" s="77"/>
    </row>
    <row r="303" spans="2:7" ht="34.5" customHeight="1" x14ac:dyDescent="0.25">
      <c r="B303" s="73" t="s">
        <v>145</v>
      </c>
      <c r="C303" s="74" t="s">
        <v>114</v>
      </c>
      <c r="D303" s="183">
        <f>5+25</f>
        <v>30</v>
      </c>
      <c r="E303" s="76">
        <v>9.42</v>
      </c>
      <c r="F303" s="76">
        <f t="shared" si="7"/>
        <v>282.60000000000002</v>
      </c>
      <c r="G303" s="77"/>
    </row>
    <row r="304" spans="2:7" ht="34.5" customHeight="1" x14ac:dyDescent="0.25">
      <c r="B304" s="73" t="s">
        <v>146</v>
      </c>
      <c r="C304" s="74" t="s">
        <v>114</v>
      </c>
      <c r="D304" s="183">
        <f>1+12+10+5</f>
        <v>28</v>
      </c>
      <c r="E304" s="76">
        <v>248.69</v>
      </c>
      <c r="F304" s="76">
        <f t="shared" si="7"/>
        <v>6963.32</v>
      </c>
      <c r="G304" s="77"/>
    </row>
    <row r="305" spans="2:8" ht="34.5" customHeight="1" x14ac:dyDescent="0.25">
      <c r="B305" s="73" t="s">
        <v>283</v>
      </c>
      <c r="C305" s="74" t="s">
        <v>114</v>
      </c>
      <c r="D305" s="183">
        <f>2</f>
        <v>2</v>
      </c>
      <c r="E305" s="76">
        <v>50.17</v>
      </c>
      <c r="F305" s="76">
        <f t="shared" si="7"/>
        <v>100.34</v>
      </c>
      <c r="G305" s="77"/>
    </row>
    <row r="306" spans="2:8" ht="34.5" customHeight="1" x14ac:dyDescent="0.25">
      <c r="B306" s="73" t="s">
        <v>284</v>
      </c>
      <c r="C306" s="74" t="s">
        <v>114</v>
      </c>
      <c r="D306" s="183">
        <f>5</f>
        <v>5</v>
      </c>
      <c r="E306" s="76">
        <v>24.97</v>
      </c>
      <c r="F306" s="76">
        <f t="shared" si="7"/>
        <v>124.85</v>
      </c>
      <c r="G306" s="77"/>
    </row>
    <row r="307" spans="2:8" ht="34.5" customHeight="1" x14ac:dyDescent="0.25">
      <c r="B307" s="73" t="s">
        <v>285</v>
      </c>
      <c r="C307" s="74" t="s">
        <v>114</v>
      </c>
      <c r="D307" s="183">
        <v>3</v>
      </c>
      <c r="E307" s="76">
        <v>205.97</v>
      </c>
      <c r="F307" s="76">
        <f t="shared" si="7"/>
        <v>617.91</v>
      </c>
      <c r="G307" s="77"/>
      <c r="H307" s="78"/>
    </row>
    <row r="308" spans="2:8" ht="34.5" customHeight="1" x14ac:dyDescent="0.25">
      <c r="B308" s="73" t="s">
        <v>147</v>
      </c>
      <c r="C308" s="74" t="s">
        <v>114</v>
      </c>
      <c r="D308" s="183">
        <f>10+1+2+5</f>
        <v>18</v>
      </c>
      <c r="E308" s="76">
        <v>122.5</v>
      </c>
      <c r="F308" s="76">
        <f t="shared" si="7"/>
        <v>2205</v>
      </c>
      <c r="G308" s="77"/>
    </row>
    <row r="309" spans="2:8" ht="34.5" customHeight="1" x14ac:dyDescent="0.25">
      <c r="B309" s="73" t="s">
        <v>148</v>
      </c>
      <c r="C309" s="74" t="s">
        <v>114</v>
      </c>
      <c r="D309" s="183">
        <f>1+5+2+5</f>
        <v>13</v>
      </c>
      <c r="E309" s="76">
        <v>24.86</v>
      </c>
      <c r="F309" s="76">
        <f t="shared" si="7"/>
        <v>323.18</v>
      </c>
      <c r="G309" s="77"/>
    </row>
    <row r="310" spans="2:8" ht="34.5" customHeight="1" x14ac:dyDescent="0.25">
      <c r="B310" s="73" t="s">
        <v>149</v>
      </c>
      <c r="C310" s="74" t="s">
        <v>150</v>
      </c>
      <c r="D310" s="183">
        <f>2+1+5</f>
        <v>8</v>
      </c>
      <c r="E310" s="76">
        <v>64.69</v>
      </c>
      <c r="F310" s="76">
        <f t="shared" si="7"/>
        <v>517.52</v>
      </c>
      <c r="G310" s="77"/>
    </row>
    <row r="311" spans="2:8" ht="34.5" customHeight="1" x14ac:dyDescent="0.25">
      <c r="B311" s="73" t="s">
        <v>149</v>
      </c>
      <c r="C311" s="74" t="s">
        <v>150</v>
      </c>
      <c r="D311" s="183">
        <f>1+5</f>
        <v>6</v>
      </c>
      <c r="E311" s="76">
        <v>80.599999999999994</v>
      </c>
      <c r="F311" s="76">
        <f t="shared" si="7"/>
        <v>483.59999999999997</v>
      </c>
      <c r="G311" s="77"/>
    </row>
    <row r="312" spans="2:8" ht="34.5" customHeight="1" x14ac:dyDescent="0.25">
      <c r="B312" s="73" t="s">
        <v>149</v>
      </c>
      <c r="C312" s="74" t="s">
        <v>150</v>
      </c>
      <c r="D312" s="183">
        <f>1+2+1+5+5</f>
        <v>14</v>
      </c>
      <c r="E312" s="76">
        <v>162.02000000000001</v>
      </c>
      <c r="F312" s="76">
        <f t="shared" si="7"/>
        <v>2268.2800000000002</v>
      </c>
      <c r="G312" s="77"/>
    </row>
    <row r="313" spans="2:8" ht="34.5" customHeight="1" x14ac:dyDescent="0.25">
      <c r="B313" s="73" t="s">
        <v>286</v>
      </c>
      <c r="C313" s="74" t="s">
        <v>114</v>
      </c>
      <c r="D313" s="183">
        <f>2+1+2</f>
        <v>5</v>
      </c>
      <c r="E313" s="76">
        <v>115.41</v>
      </c>
      <c r="F313" s="76">
        <f t="shared" si="7"/>
        <v>577.04999999999995</v>
      </c>
      <c r="G313" s="77"/>
    </row>
    <row r="314" spans="2:8" ht="34.5" customHeight="1" x14ac:dyDescent="0.25">
      <c r="B314" s="73" t="s">
        <v>287</v>
      </c>
      <c r="C314" s="74" t="s">
        <v>114</v>
      </c>
      <c r="D314" s="183">
        <f>3</f>
        <v>3</v>
      </c>
      <c r="E314" s="76">
        <v>61.83</v>
      </c>
      <c r="F314" s="76">
        <f t="shared" si="7"/>
        <v>185.49</v>
      </c>
      <c r="G314" s="77"/>
    </row>
    <row r="315" spans="2:8" ht="34.5" customHeight="1" x14ac:dyDescent="0.25">
      <c r="B315" s="73" t="s">
        <v>151</v>
      </c>
      <c r="C315" s="74" t="s">
        <v>114</v>
      </c>
      <c r="D315" s="183"/>
      <c r="E315" s="76">
        <v>101.81</v>
      </c>
      <c r="F315" s="76">
        <f t="shared" si="7"/>
        <v>0</v>
      </c>
      <c r="G315" s="77"/>
    </row>
    <row r="316" spans="2:8" ht="34.5" customHeight="1" x14ac:dyDescent="0.25">
      <c r="B316" s="73" t="s">
        <v>288</v>
      </c>
      <c r="C316" s="74" t="s">
        <v>150</v>
      </c>
      <c r="D316" s="183">
        <f>5</f>
        <v>5</v>
      </c>
      <c r="E316" s="76">
        <v>16.170000000000002</v>
      </c>
      <c r="F316" s="76">
        <f t="shared" si="7"/>
        <v>80.850000000000009</v>
      </c>
      <c r="G316" s="77"/>
    </row>
    <row r="317" spans="2:8" ht="34.5" customHeight="1" x14ac:dyDescent="0.25">
      <c r="B317" s="73" t="s">
        <v>152</v>
      </c>
      <c r="C317" s="74" t="s">
        <v>150</v>
      </c>
      <c r="D317" s="183"/>
      <c r="E317" s="76">
        <v>74.02</v>
      </c>
      <c r="F317" s="76">
        <f t="shared" si="7"/>
        <v>0</v>
      </c>
      <c r="G317" s="77"/>
    </row>
    <row r="318" spans="2:8" ht="34.5" customHeight="1" x14ac:dyDescent="0.25">
      <c r="B318" s="73" t="s">
        <v>153</v>
      </c>
      <c r="C318" s="74" t="s">
        <v>150</v>
      </c>
      <c r="D318" s="183"/>
      <c r="E318" s="76">
        <v>21.35</v>
      </c>
      <c r="F318" s="76">
        <f t="shared" si="7"/>
        <v>0</v>
      </c>
      <c r="G318" s="77"/>
    </row>
    <row r="319" spans="2:8" ht="34.5" customHeight="1" x14ac:dyDescent="0.25">
      <c r="B319" s="73" t="s">
        <v>154</v>
      </c>
      <c r="C319" s="74" t="s">
        <v>150</v>
      </c>
      <c r="D319" s="183"/>
      <c r="E319" s="76">
        <v>188.91</v>
      </c>
      <c r="F319" s="76">
        <f t="shared" si="7"/>
        <v>0</v>
      </c>
      <c r="G319" s="77"/>
    </row>
    <row r="320" spans="2:8" ht="34.5" customHeight="1" x14ac:dyDescent="0.25">
      <c r="B320" s="184" t="s">
        <v>289</v>
      </c>
      <c r="C320" s="74" t="s">
        <v>150</v>
      </c>
      <c r="D320" s="183">
        <v>50</v>
      </c>
      <c r="E320" s="76">
        <v>182.48</v>
      </c>
      <c r="F320" s="76">
        <f t="shared" si="7"/>
        <v>9124</v>
      </c>
      <c r="G320" s="77"/>
      <c r="H320" s="78"/>
    </row>
    <row r="321" spans="2:9" ht="34.5" customHeight="1" x14ac:dyDescent="0.25">
      <c r="B321" s="184" t="s">
        <v>290</v>
      </c>
      <c r="C321" s="74" t="s">
        <v>150</v>
      </c>
      <c r="D321" s="183">
        <f>50</f>
        <v>50</v>
      </c>
      <c r="E321" s="76">
        <v>228.84</v>
      </c>
      <c r="F321" s="76">
        <f t="shared" si="7"/>
        <v>11442</v>
      </c>
      <c r="G321" s="77"/>
    </row>
    <row r="322" spans="2:9" ht="34.5" customHeight="1" x14ac:dyDescent="0.25">
      <c r="B322" s="73" t="s">
        <v>155</v>
      </c>
      <c r="C322" s="74" t="s">
        <v>114</v>
      </c>
      <c r="D322" s="183">
        <f>36+24+24+53+19</f>
        <v>156</v>
      </c>
      <c r="E322" s="76">
        <v>322.49</v>
      </c>
      <c r="F322" s="76">
        <f t="shared" si="7"/>
        <v>50308.44</v>
      </c>
      <c r="G322" s="77"/>
    </row>
    <row r="323" spans="2:9" ht="34.5" customHeight="1" x14ac:dyDescent="0.3">
      <c r="B323" s="185"/>
      <c r="C323" s="46" t="s">
        <v>156</v>
      </c>
      <c r="D323" s="79"/>
      <c r="E323" s="79"/>
      <c r="F323" s="80">
        <f>SUM(F287:F322)</f>
        <v>95436.12</v>
      </c>
      <c r="G323" s="81"/>
    </row>
    <row r="324" spans="2:9" ht="34.5" customHeight="1" x14ac:dyDescent="0.25">
      <c r="B324" s="325" t="s">
        <v>124</v>
      </c>
      <c r="C324" s="325"/>
      <c r="D324" s="186"/>
      <c r="E324" s="186"/>
      <c r="F324" s="186"/>
      <c r="G324" s="45"/>
    </row>
    <row r="325" spans="2:9" ht="34.5" customHeight="1" x14ac:dyDescent="0.25">
      <c r="B325" s="64"/>
      <c r="C325" s="82">
        <v>1</v>
      </c>
      <c r="D325" s="83">
        <v>2</v>
      </c>
      <c r="E325" s="187">
        <v>3</v>
      </c>
      <c r="F325" s="187">
        <v>4</v>
      </c>
      <c r="G325" s="85"/>
    </row>
    <row r="326" spans="2:9" ht="34.5" customHeight="1" x14ac:dyDescent="0.25">
      <c r="B326" s="64" t="s">
        <v>291</v>
      </c>
      <c r="C326" s="82" t="s">
        <v>114</v>
      </c>
      <c r="D326" s="92">
        <v>5</v>
      </c>
      <c r="E326" s="93">
        <f>F326/D326</f>
        <v>238.07</v>
      </c>
      <c r="F326" s="86">
        <v>1190.3499999999999</v>
      </c>
      <c r="G326" s="85"/>
    </row>
    <row r="327" spans="2:9" ht="34.5" customHeight="1" x14ac:dyDescent="0.25">
      <c r="B327" s="64" t="s">
        <v>292</v>
      </c>
      <c r="C327" s="82" t="s">
        <v>114</v>
      </c>
      <c r="D327" s="92">
        <v>1</v>
      </c>
      <c r="E327" s="93">
        <v>744.8</v>
      </c>
      <c r="F327" s="86">
        <f t="shared" ref="F327:F348" si="8">D327*E327</f>
        <v>744.8</v>
      </c>
      <c r="G327" s="85"/>
    </row>
    <row r="328" spans="2:9" ht="34.5" customHeight="1" x14ac:dyDescent="0.25">
      <c r="B328" s="64" t="s">
        <v>293</v>
      </c>
      <c r="C328" s="82" t="s">
        <v>114</v>
      </c>
      <c r="D328" s="92">
        <v>8</v>
      </c>
      <c r="E328" s="93">
        <v>67</v>
      </c>
      <c r="F328" s="86">
        <f t="shared" si="8"/>
        <v>536</v>
      </c>
      <c r="G328" s="85"/>
    </row>
    <row r="329" spans="2:9" ht="34.5" customHeight="1" x14ac:dyDescent="0.25">
      <c r="B329" s="64" t="s">
        <v>294</v>
      </c>
      <c r="C329" s="82" t="s">
        <v>114</v>
      </c>
      <c r="D329" s="92">
        <v>10</v>
      </c>
      <c r="E329" s="93">
        <v>176.4</v>
      </c>
      <c r="F329" s="86">
        <f t="shared" si="8"/>
        <v>1764</v>
      </c>
      <c r="G329" s="94"/>
      <c r="H329" s="95"/>
      <c r="I329" s="114"/>
    </row>
    <row r="330" spans="2:9" ht="34.5" customHeight="1" x14ac:dyDescent="0.25">
      <c r="B330" s="96" t="s">
        <v>295</v>
      </c>
      <c r="C330" s="82" t="s">
        <v>114</v>
      </c>
      <c r="D330" s="92">
        <v>3</v>
      </c>
      <c r="E330" s="93">
        <v>72.52</v>
      </c>
      <c r="F330" s="86">
        <f t="shared" si="8"/>
        <v>217.56</v>
      </c>
      <c r="G330" s="94"/>
      <c r="H330" s="95"/>
      <c r="I330" s="114"/>
    </row>
    <row r="331" spans="2:9" ht="34.5" customHeight="1" x14ac:dyDescent="0.25">
      <c r="B331" s="96" t="s">
        <v>296</v>
      </c>
      <c r="C331" s="82" t="s">
        <v>114</v>
      </c>
      <c r="D331" s="92">
        <v>3</v>
      </c>
      <c r="E331" s="93">
        <v>430.21</v>
      </c>
      <c r="F331" s="86">
        <f t="shared" si="8"/>
        <v>1290.6299999999999</v>
      </c>
      <c r="G331" s="85"/>
    </row>
    <row r="332" spans="2:9" ht="34.5" customHeight="1" x14ac:dyDescent="0.25">
      <c r="B332" s="96" t="s">
        <v>297</v>
      </c>
      <c r="C332" s="82" t="s">
        <v>114</v>
      </c>
      <c r="D332" s="92">
        <v>5</v>
      </c>
      <c r="E332" s="93">
        <v>165.71</v>
      </c>
      <c r="F332" s="86">
        <f t="shared" si="8"/>
        <v>828.55000000000007</v>
      </c>
      <c r="G332" s="94"/>
      <c r="H332" s="95"/>
      <c r="I332" s="114"/>
    </row>
    <row r="333" spans="2:9" ht="34.5" customHeight="1" x14ac:dyDescent="0.25">
      <c r="B333" s="96" t="s">
        <v>298</v>
      </c>
      <c r="C333" s="82" t="s">
        <v>114</v>
      </c>
      <c r="D333" s="92">
        <v>3</v>
      </c>
      <c r="E333" s="93">
        <v>233.95</v>
      </c>
      <c r="F333" s="86">
        <f t="shared" si="8"/>
        <v>701.84999999999991</v>
      </c>
      <c r="G333" s="94"/>
      <c r="H333" s="95"/>
      <c r="I333" s="114"/>
    </row>
    <row r="334" spans="2:9" ht="34.5" customHeight="1" x14ac:dyDescent="0.25">
      <c r="B334" s="96" t="s">
        <v>299</v>
      </c>
      <c r="C334" s="82" t="s">
        <v>114</v>
      </c>
      <c r="D334" s="92">
        <v>3</v>
      </c>
      <c r="E334" s="93">
        <v>672.08</v>
      </c>
      <c r="F334" s="86">
        <f t="shared" si="8"/>
        <v>2016.2400000000002</v>
      </c>
      <c r="G334" s="94"/>
      <c r="H334" s="95"/>
      <c r="I334" s="114"/>
    </row>
    <row r="335" spans="2:9" ht="34.5" customHeight="1" x14ac:dyDescent="0.25">
      <c r="B335" s="170" t="s">
        <v>296</v>
      </c>
      <c r="C335" s="82" t="s">
        <v>114</v>
      </c>
      <c r="D335" s="97">
        <v>2</v>
      </c>
      <c r="E335" s="98">
        <v>457.01</v>
      </c>
      <c r="F335" s="86">
        <f t="shared" si="8"/>
        <v>914.02</v>
      </c>
      <c r="G335" s="99"/>
      <c r="H335" s="100"/>
      <c r="I335" s="114"/>
    </row>
    <row r="336" spans="2:9" ht="34.5" customHeight="1" x14ac:dyDescent="0.25">
      <c r="B336" s="170" t="s">
        <v>300</v>
      </c>
      <c r="C336" s="82" t="s">
        <v>114</v>
      </c>
      <c r="D336" s="97">
        <v>20</v>
      </c>
      <c r="E336" s="98">
        <v>107.94</v>
      </c>
      <c r="F336" s="86">
        <f t="shared" si="8"/>
        <v>2158.8000000000002</v>
      </c>
      <c r="G336" s="99"/>
      <c r="H336" s="100"/>
      <c r="I336" s="114"/>
    </row>
    <row r="337" spans="2:9" ht="34.5" customHeight="1" x14ac:dyDescent="0.25">
      <c r="B337" s="170" t="s">
        <v>301</v>
      </c>
      <c r="C337" s="82" t="s">
        <v>114</v>
      </c>
      <c r="D337" s="97">
        <v>10</v>
      </c>
      <c r="E337" s="98">
        <v>33.58</v>
      </c>
      <c r="F337" s="86">
        <f t="shared" si="8"/>
        <v>335.79999999999995</v>
      </c>
      <c r="G337" s="99"/>
      <c r="H337" s="100"/>
      <c r="I337" s="114"/>
    </row>
    <row r="338" spans="2:9" ht="34.5" customHeight="1" x14ac:dyDescent="0.25">
      <c r="B338" s="170" t="s">
        <v>302</v>
      </c>
      <c r="C338" s="82" t="s">
        <v>114</v>
      </c>
      <c r="D338" s="97">
        <v>3</v>
      </c>
      <c r="E338" s="98">
        <v>181.3</v>
      </c>
      <c r="F338" s="86">
        <f t="shared" si="8"/>
        <v>543.90000000000009</v>
      </c>
      <c r="G338" s="99"/>
      <c r="H338" s="100"/>
      <c r="I338" s="114"/>
    </row>
    <row r="339" spans="2:9" ht="34.5" customHeight="1" x14ac:dyDescent="0.25">
      <c r="B339" s="170" t="s">
        <v>303</v>
      </c>
      <c r="C339" s="82" t="s">
        <v>114</v>
      </c>
      <c r="D339" s="97">
        <v>4</v>
      </c>
      <c r="E339" s="98">
        <v>80.66</v>
      </c>
      <c r="F339" s="86">
        <f t="shared" si="8"/>
        <v>322.64</v>
      </c>
      <c r="G339" s="99"/>
      <c r="H339" s="100"/>
      <c r="I339" s="114"/>
    </row>
    <row r="340" spans="2:9" ht="34.5" customHeight="1" x14ac:dyDescent="0.25">
      <c r="B340" s="170" t="s">
        <v>304</v>
      </c>
      <c r="C340" s="82" t="s">
        <v>114</v>
      </c>
      <c r="D340" s="97">
        <v>3</v>
      </c>
      <c r="E340" s="98">
        <v>173.43</v>
      </c>
      <c r="F340" s="86">
        <f t="shared" si="8"/>
        <v>520.29</v>
      </c>
      <c r="G340" s="99"/>
      <c r="H340" s="100"/>
      <c r="I340" s="114"/>
    </row>
    <row r="341" spans="2:9" ht="34.5" customHeight="1" x14ac:dyDescent="0.25">
      <c r="B341" s="170" t="s">
        <v>305</v>
      </c>
      <c r="C341" s="82" t="s">
        <v>114</v>
      </c>
      <c r="D341" s="97">
        <v>1</v>
      </c>
      <c r="E341" s="98">
        <v>270.56</v>
      </c>
      <c r="F341" s="86">
        <f t="shared" si="8"/>
        <v>270.56</v>
      </c>
      <c r="G341" s="99"/>
      <c r="H341" s="100"/>
      <c r="I341" s="114"/>
    </row>
    <row r="342" spans="2:9" ht="34.5" customHeight="1" x14ac:dyDescent="0.25">
      <c r="B342" s="170" t="s">
        <v>306</v>
      </c>
      <c r="C342" s="82" t="s">
        <v>114</v>
      </c>
      <c r="D342" s="97">
        <v>1</v>
      </c>
      <c r="E342" s="98">
        <v>293.02</v>
      </c>
      <c r="F342" s="86">
        <f t="shared" si="8"/>
        <v>293.02</v>
      </c>
      <c r="G342" s="99"/>
      <c r="H342" s="100"/>
      <c r="I342" s="114"/>
    </row>
    <row r="343" spans="2:9" ht="34.5" customHeight="1" x14ac:dyDescent="0.25">
      <c r="B343" s="170" t="s">
        <v>307</v>
      </c>
      <c r="C343" s="82" t="s">
        <v>114</v>
      </c>
      <c r="D343" s="97">
        <v>3</v>
      </c>
      <c r="E343" s="98">
        <v>103.72</v>
      </c>
      <c r="F343" s="86">
        <f t="shared" si="8"/>
        <v>311.15999999999997</v>
      </c>
      <c r="G343" s="99"/>
      <c r="H343" s="100"/>
      <c r="I343" s="114"/>
    </row>
    <row r="344" spans="2:9" ht="34.5" customHeight="1" x14ac:dyDescent="0.25">
      <c r="B344" s="170" t="s">
        <v>308</v>
      </c>
      <c r="C344" s="82" t="s">
        <v>114</v>
      </c>
      <c r="D344" s="97">
        <v>1</v>
      </c>
      <c r="E344" s="98">
        <v>245.35</v>
      </c>
      <c r="F344" s="86">
        <f t="shared" si="8"/>
        <v>245.35</v>
      </c>
      <c r="G344" s="99"/>
      <c r="H344" s="100"/>
      <c r="I344" s="114"/>
    </row>
    <row r="345" spans="2:9" ht="34.5" customHeight="1" x14ac:dyDescent="0.25">
      <c r="B345" s="170" t="s">
        <v>309</v>
      </c>
      <c r="C345" s="82" t="s">
        <v>114</v>
      </c>
      <c r="D345" s="97">
        <v>2</v>
      </c>
      <c r="E345" s="98">
        <v>76.430000000000007</v>
      </c>
      <c r="F345" s="86">
        <f t="shared" si="8"/>
        <v>152.86000000000001</v>
      </c>
      <c r="G345" s="99"/>
      <c r="H345" s="100"/>
      <c r="I345" s="114"/>
    </row>
    <row r="346" spans="2:9" ht="34.5" customHeight="1" x14ac:dyDescent="0.25">
      <c r="B346" s="170" t="s">
        <v>310</v>
      </c>
      <c r="C346" s="82" t="s">
        <v>114</v>
      </c>
      <c r="D346" s="97">
        <v>10</v>
      </c>
      <c r="E346" s="98">
        <v>72.52</v>
      </c>
      <c r="F346" s="86">
        <f t="shared" si="8"/>
        <v>725.19999999999993</v>
      </c>
      <c r="G346" s="99"/>
      <c r="H346" s="100"/>
    </row>
    <row r="347" spans="2:9" ht="34.5" customHeight="1" x14ac:dyDescent="0.25">
      <c r="B347" s="170" t="s">
        <v>296</v>
      </c>
      <c r="C347" s="82" t="s">
        <v>114</v>
      </c>
      <c r="D347" s="97">
        <v>3</v>
      </c>
      <c r="E347" s="98">
        <v>442.01</v>
      </c>
      <c r="F347" s="86">
        <f t="shared" si="8"/>
        <v>1326.03</v>
      </c>
      <c r="G347" s="99"/>
      <c r="H347" s="100"/>
    </row>
    <row r="348" spans="2:9" ht="34.5" customHeight="1" x14ac:dyDescent="0.25">
      <c r="B348" s="170" t="s">
        <v>311</v>
      </c>
      <c r="C348" s="82" t="s">
        <v>114</v>
      </c>
      <c r="D348" s="97">
        <v>5</v>
      </c>
      <c r="E348" s="98">
        <v>274.43</v>
      </c>
      <c r="F348" s="86">
        <f t="shared" si="8"/>
        <v>1372.15</v>
      </c>
      <c r="G348" s="99"/>
      <c r="H348" s="100"/>
    </row>
    <row r="349" spans="2:9" ht="34.5" customHeight="1" x14ac:dyDescent="0.25">
      <c r="B349" s="170" t="s">
        <v>312</v>
      </c>
      <c r="C349" s="82" t="s">
        <v>114</v>
      </c>
      <c r="D349" s="97">
        <v>100</v>
      </c>
      <c r="E349" s="98">
        <v>6.65</v>
      </c>
      <c r="F349" s="86">
        <f>D349*E349+0.28</f>
        <v>665.28</v>
      </c>
      <c r="G349" s="99"/>
      <c r="H349" s="100"/>
    </row>
    <row r="350" spans="2:9" ht="34.5" customHeight="1" x14ac:dyDescent="0.25">
      <c r="B350" s="170" t="s">
        <v>313</v>
      </c>
      <c r="C350" s="82" t="s">
        <v>114</v>
      </c>
      <c r="D350" s="97">
        <v>10</v>
      </c>
      <c r="E350" s="98">
        <v>119.93</v>
      </c>
      <c r="F350" s="86">
        <f t="shared" ref="F350:F355" si="9">D350*E350</f>
        <v>1199.3000000000002</v>
      </c>
      <c r="G350" s="99"/>
      <c r="H350" s="100"/>
    </row>
    <row r="351" spans="2:9" ht="34.5" customHeight="1" x14ac:dyDescent="0.25">
      <c r="B351" s="170" t="s">
        <v>314</v>
      </c>
      <c r="C351" s="82" t="s">
        <v>114</v>
      </c>
      <c r="D351" s="97">
        <v>3</v>
      </c>
      <c r="E351" s="98">
        <v>263.02999999999997</v>
      </c>
      <c r="F351" s="86">
        <f t="shared" si="9"/>
        <v>789.08999999999992</v>
      </c>
      <c r="G351" s="99"/>
      <c r="H351" s="100"/>
    </row>
    <row r="352" spans="2:9" ht="34.5" customHeight="1" x14ac:dyDescent="0.25">
      <c r="B352" s="170" t="s">
        <v>315</v>
      </c>
      <c r="C352" s="82" t="s">
        <v>114</v>
      </c>
      <c r="D352" s="97">
        <v>4</v>
      </c>
      <c r="E352" s="98">
        <v>208.66</v>
      </c>
      <c r="F352" s="86">
        <f t="shared" si="9"/>
        <v>834.64</v>
      </c>
      <c r="G352" s="99"/>
      <c r="H352" s="100"/>
    </row>
    <row r="353" spans="2:9" ht="34.5" customHeight="1" x14ac:dyDescent="0.25">
      <c r="B353" s="170" t="s">
        <v>316</v>
      </c>
      <c r="C353" s="82" t="s">
        <v>114</v>
      </c>
      <c r="D353" s="97">
        <v>15</v>
      </c>
      <c r="E353" s="98">
        <v>33.58</v>
      </c>
      <c r="F353" s="86">
        <f t="shared" si="9"/>
        <v>503.7</v>
      </c>
      <c r="G353" s="99"/>
      <c r="H353" s="100"/>
    </row>
    <row r="354" spans="2:9" ht="34.5" customHeight="1" x14ac:dyDescent="0.25">
      <c r="B354" s="170" t="s">
        <v>317</v>
      </c>
      <c r="C354" s="82" t="s">
        <v>114</v>
      </c>
      <c r="D354" s="97">
        <v>2</v>
      </c>
      <c r="E354" s="98">
        <v>148.85</v>
      </c>
      <c r="F354" s="86">
        <f t="shared" si="9"/>
        <v>297.7</v>
      </c>
      <c r="G354" s="99"/>
      <c r="H354" s="100"/>
    </row>
    <row r="355" spans="2:9" ht="34.5" customHeight="1" x14ac:dyDescent="0.25">
      <c r="B355" s="170" t="s">
        <v>318</v>
      </c>
      <c r="C355" s="82" t="s">
        <v>114</v>
      </c>
      <c r="D355" s="97">
        <v>15</v>
      </c>
      <c r="E355" s="98">
        <v>288.8</v>
      </c>
      <c r="F355" s="86">
        <f t="shared" si="9"/>
        <v>4332</v>
      </c>
      <c r="G355" s="99"/>
      <c r="H355" s="100"/>
    </row>
    <row r="356" spans="2:9" ht="34.5" customHeight="1" x14ac:dyDescent="0.25">
      <c r="B356" s="170" t="s">
        <v>220</v>
      </c>
      <c r="C356" s="82" t="s">
        <v>114</v>
      </c>
      <c r="D356" s="97"/>
      <c r="E356" s="98"/>
      <c r="F356" s="86"/>
      <c r="G356" s="99"/>
      <c r="H356" s="100"/>
    </row>
    <row r="357" spans="2:9" ht="34.5" customHeight="1" x14ac:dyDescent="0.25">
      <c r="B357" s="170" t="s">
        <v>319</v>
      </c>
      <c r="C357" s="82" t="s">
        <v>114</v>
      </c>
      <c r="D357" s="97">
        <v>12</v>
      </c>
      <c r="E357" s="98">
        <v>590.01</v>
      </c>
      <c r="F357" s="86">
        <f t="shared" ref="F357:F381" si="10">D357*E357</f>
        <v>7080.12</v>
      </c>
      <c r="G357" s="99"/>
      <c r="H357" s="100"/>
    </row>
    <row r="358" spans="2:9" ht="34.5" customHeight="1" x14ac:dyDescent="0.25">
      <c r="B358" s="170" t="s">
        <v>320</v>
      </c>
      <c r="C358" s="82" t="s">
        <v>114</v>
      </c>
      <c r="D358" s="97">
        <v>1</v>
      </c>
      <c r="E358" s="98">
        <v>282.31</v>
      </c>
      <c r="F358" s="86">
        <f t="shared" si="10"/>
        <v>282.31</v>
      </c>
      <c r="G358" s="99"/>
      <c r="H358" s="100"/>
    </row>
    <row r="359" spans="2:9" ht="34.5" customHeight="1" x14ac:dyDescent="0.25">
      <c r="B359" s="170" t="s">
        <v>295</v>
      </c>
      <c r="C359" s="82" t="s">
        <v>114</v>
      </c>
      <c r="D359" s="97">
        <v>20</v>
      </c>
      <c r="E359" s="98">
        <v>79.86</v>
      </c>
      <c r="F359" s="86">
        <f t="shared" si="10"/>
        <v>1597.2</v>
      </c>
      <c r="G359" s="99"/>
      <c r="H359" s="100"/>
      <c r="I359" s="114"/>
    </row>
    <row r="360" spans="2:9" ht="34.5" customHeight="1" x14ac:dyDescent="0.25">
      <c r="B360" s="170" t="s">
        <v>296</v>
      </c>
      <c r="C360" s="82" t="s">
        <v>114</v>
      </c>
      <c r="D360" s="97">
        <v>5</v>
      </c>
      <c r="E360" s="98">
        <v>606.91</v>
      </c>
      <c r="F360" s="86">
        <f t="shared" si="10"/>
        <v>3034.5499999999997</v>
      </c>
      <c r="G360" s="99"/>
      <c r="H360" s="100"/>
    </row>
    <row r="361" spans="2:9" ht="34.5" customHeight="1" x14ac:dyDescent="0.25">
      <c r="B361" s="170" t="s">
        <v>321</v>
      </c>
      <c r="C361" s="82" t="s">
        <v>114</v>
      </c>
      <c r="D361" s="97">
        <v>3</v>
      </c>
      <c r="E361" s="98">
        <v>64.31</v>
      </c>
      <c r="F361" s="86">
        <f t="shared" si="10"/>
        <v>192.93</v>
      </c>
      <c r="G361" s="99"/>
      <c r="H361" s="100"/>
    </row>
    <row r="362" spans="2:9" ht="34.5" customHeight="1" x14ac:dyDescent="0.25">
      <c r="B362" s="170" t="s">
        <v>322</v>
      </c>
      <c r="C362" s="82" t="s">
        <v>114</v>
      </c>
      <c r="D362" s="97">
        <v>20</v>
      </c>
      <c r="E362" s="98">
        <v>184.05</v>
      </c>
      <c r="F362" s="86">
        <f t="shared" si="10"/>
        <v>3681</v>
      </c>
      <c r="G362" s="99"/>
      <c r="H362" s="100"/>
    </row>
    <row r="363" spans="2:9" ht="34.5" customHeight="1" x14ac:dyDescent="0.25">
      <c r="B363" s="170" t="s">
        <v>323</v>
      </c>
      <c r="C363" s="82" t="s">
        <v>114</v>
      </c>
      <c r="D363" s="97">
        <v>5</v>
      </c>
      <c r="E363" s="98">
        <v>186.95</v>
      </c>
      <c r="F363" s="86">
        <f t="shared" si="10"/>
        <v>934.75</v>
      </c>
      <c r="G363" s="99"/>
      <c r="H363" s="100"/>
    </row>
    <row r="364" spans="2:9" ht="34.5" customHeight="1" x14ac:dyDescent="0.25">
      <c r="B364" s="170" t="s">
        <v>324</v>
      </c>
      <c r="C364" s="82" t="s">
        <v>114</v>
      </c>
      <c r="D364" s="97">
        <v>5</v>
      </c>
      <c r="E364" s="98">
        <v>275.39</v>
      </c>
      <c r="F364" s="86">
        <f t="shared" si="10"/>
        <v>1376.9499999999998</v>
      </c>
      <c r="G364" s="99"/>
      <c r="H364" s="100"/>
    </row>
    <row r="365" spans="2:9" ht="34.5" customHeight="1" x14ac:dyDescent="0.25">
      <c r="B365" s="170" t="s">
        <v>301</v>
      </c>
      <c r="C365" s="82" t="s">
        <v>114</v>
      </c>
      <c r="D365" s="97">
        <v>30</v>
      </c>
      <c r="E365" s="98">
        <v>44.03</v>
      </c>
      <c r="F365" s="86">
        <f t="shared" si="10"/>
        <v>1320.9</v>
      </c>
      <c r="G365" s="99"/>
      <c r="H365" s="100"/>
    </row>
    <row r="366" spans="2:9" ht="34.5" customHeight="1" x14ac:dyDescent="0.25">
      <c r="B366" s="170" t="s">
        <v>325</v>
      </c>
      <c r="C366" s="82" t="s">
        <v>114</v>
      </c>
      <c r="D366" s="97">
        <v>1</v>
      </c>
      <c r="E366" s="98">
        <v>158.13999999999999</v>
      </c>
      <c r="F366" s="86">
        <f t="shared" si="10"/>
        <v>158.13999999999999</v>
      </c>
      <c r="G366" s="99"/>
      <c r="H366" s="100"/>
    </row>
    <row r="367" spans="2:9" ht="34.5" customHeight="1" x14ac:dyDescent="0.25">
      <c r="B367" s="170" t="s">
        <v>326</v>
      </c>
      <c r="C367" s="82" t="s">
        <v>114</v>
      </c>
      <c r="D367" s="97">
        <v>5</v>
      </c>
      <c r="E367" s="98">
        <v>409.71</v>
      </c>
      <c r="F367" s="86">
        <f t="shared" si="10"/>
        <v>2048.5499999999997</v>
      </c>
      <c r="G367" s="99"/>
      <c r="H367" s="100"/>
    </row>
    <row r="368" spans="2:9" ht="34.5" customHeight="1" x14ac:dyDescent="0.25">
      <c r="B368" s="170" t="s">
        <v>327</v>
      </c>
      <c r="C368" s="82" t="s">
        <v>114</v>
      </c>
      <c r="D368" s="97">
        <v>3</v>
      </c>
      <c r="E368" s="98">
        <v>126.04</v>
      </c>
      <c r="F368" s="86">
        <f t="shared" si="10"/>
        <v>378.12</v>
      </c>
      <c r="G368" s="99"/>
      <c r="H368" s="100"/>
    </row>
    <row r="369" spans="2:12" ht="34.5" customHeight="1" x14ac:dyDescent="0.25">
      <c r="B369" s="170" t="s">
        <v>328</v>
      </c>
      <c r="C369" s="82" t="s">
        <v>114</v>
      </c>
      <c r="D369" s="97">
        <v>5</v>
      </c>
      <c r="E369" s="98">
        <v>118.87</v>
      </c>
      <c r="F369" s="86">
        <f t="shared" si="10"/>
        <v>594.35</v>
      </c>
      <c r="G369" s="99"/>
      <c r="H369" s="100"/>
    </row>
    <row r="370" spans="2:12" ht="34.5" customHeight="1" x14ac:dyDescent="0.25">
      <c r="B370" s="170" t="s">
        <v>329</v>
      </c>
      <c r="C370" s="82" t="s">
        <v>114</v>
      </c>
      <c r="D370" s="97">
        <v>1</v>
      </c>
      <c r="E370" s="98">
        <v>688.28</v>
      </c>
      <c r="F370" s="86">
        <f t="shared" si="10"/>
        <v>688.28</v>
      </c>
      <c r="G370" s="99"/>
      <c r="H370" s="100"/>
    </row>
    <row r="371" spans="2:12" ht="34.5" customHeight="1" x14ac:dyDescent="0.25">
      <c r="B371" s="170" t="s">
        <v>330</v>
      </c>
      <c r="C371" s="82" t="s">
        <v>114</v>
      </c>
      <c r="D371" s="97">
        <v>2</v>
      </c>
      <c r="E371" s="98">
        <v>494.24</v>
      </c>
      <c r="F371" s="86">
        <f t="shared" si="10"/>
        <v>988.48</v>
      </c>
      <c r="G371" s="99"/>
      <c r="H371" s="100"/>
    </row>
    <row r="372" spans="2:12" ht="34.5" customHeight="1" x14ac:dyDescent="0.25">
      <c r="B372" s="188" t="s">
        <v>295</v>
      </c>
      <c r="C372" s="82" t="s">
        <v>114</v>
      </c>
      <c r="D372" s="97">
        <v>10</v>
      </c>
      <c r="E372" s="98">
        <v>67.099999999999994</v>
      </c>
      <c r="F372" s="86">
        <f t="shared" si="10"/>
        <v>671</v>
      </c>
      <c r="G372" s="99"/>
      <c r="H372" s="100"/>
    </row>
    <row r="373" spans="2:12" ht="34.5" customHeight="1" x14ac:dyDescent="0.25">
      <c r="B373" s="188" t="s">
        <v>296</v>
      </c>
      <c r="C373" s="82" t="s">
        <v>114</v>
      </c>
      <c r="D373" s="97">
        <v>3</v>
      </c>
      <c r="E373" s="98">
        <v>383.23</v>
      </c>
      <c r="F373" s="86">
        <f t="shared" si="10"/>
        <v>1149.69</v>
      </c>
      <c r="G373" s="99"/>
      <c r="H373" s="100"/>
    </row>
    <row r="374" spans="2:12" ht="34.5" customHeight="1" x14ac:dyDescent="0.25">
      <c r="B374" s="188" t="s">
        <v>321</v>
      </c>
      <c r="C374" s="82" t="s">
        <v>114</v>
      </c>
      <c r="D374" s="97">
        <v>3</v>
      </c>
      <c r="E374" s="98">
        <v>55.26</v>
      </c>
      <c r="F374" s="86">
        <f t="shared" si="10"/>
        <v>165.78</v>
      </c>
      <c r="G374" s="99"/>
      <c r="H374" s="100"/>
    </row>
    <row r="375" spans="2:12" ht="34.5" customHeight="1" x14ac:dyDescent="0.25">
      <c r="B375" s="188" t="s">
        <v>300</v>
      </c>
      <c r="C375" s="82" t="s">
        <v>114</v>
      </c>
      <c r="D375" s="97">
        <v>15</v>
      </c>
      <c r="E375" s="98">
        <v>107.94</v>
      </c>
      <c r="F375" s="86">
        <f t="shared" si="10"/>
        <v>1619.1</v>
      </c>
      <c r="G375" s="99"/>
      <c r="H375" s="100"/>
    </row>
    <row r="376" spans="2:12" ht="34.5" customHeight="1" x14ac:dyDescent="0.25">
      <c r="B376" s="188" t="s">
        <v>331</v>
      </c>
      <c r="C376" s="82" t="s">
        <v>114</v>
      </c>
      <c r="D376" s="97">
        <v>5</v>
      </c>
      <c r="E376" s="98">
        <v>155.82</v>
      </c>
      <c r="F376" s="86">
        <f t="shared" si="10"/>
        <v>779.09999999999991</v>
      </c>
      <c r="G376" s="99"/>
      <c r="H376" s="100"/>
    </row>
    <row r="377" spans="2:12" ht="34.5" customHeight="1" x14ac:dyDescent="0.25">
      <c r="B377" s="188" t="s">
        <v>332</v>
      </c>
      <c r="C377" s="82" t="s">
        <v>114</v>
      </c>
      <c r="D377" s="97">
        <v>15</v>
      </c>
      <c r="E377" s="98">
        <v>32.69</v>
      </c>
      <c r="F377" s="86">
        <f t="shared" si="10"/>
        <v>490.34999999999997</v>
      </c>
      <c r="G377" s="99"/>
      <c r="H377" s="100"/>
    </row>
    <row r="378" spans="2:12" ht="34.5" customHeight="1" x14ac:dyDescent="0.25">
      <c r="B378" s="188" t="s">
        <v>325</v>
      </c>
      <c r="C378" s="82" t="s">
        <v>114</v>
      </c>
      <c r="D378" s="97">
        <v>1</v>
      </c>
      <c r="E378" s="98">
        <v>150.30000000000001</v>
      </c>
      <c r="F378" s="86">
        <f t="shared" si="10"/>
        <v>150.30000000000001</v>
      </c>
      <c r="G378" s="99"/>
      <c r="H378" s="100"/>
    </row>
    <row r="379" spans="2:12" ht="34.5" customHeight="1" x14ac:dyDescent="0.25">
      <c r="B379" s="188" t="s">
        <v>301</v>
      </c>
      <c r="C379" s="82" t="s">
        <v>114</v>
      </c>
      <c r="D379" s="97">
        <v>1</v>
      </c>
      <c r="E379" s="98">
        <v>22.51</v>
      </c>
      <c r="F379" s="86">
        <f t="shared" si="10"/>
        <v>22.51</v>
      </c>
      <c r="G379" s="99"/>
      <c r="H379" s="100"/>
    </row>
    <row r="380" spans="2:12" ht="34.5" customHeight="1" x14ac:dyDescent="0.25">
      <c r="B380" s="188" t="s">
        <v>326</v>
      </c>
      <c r="C380" s="82" t="s">
        <v>114</v>
      </c>
      <c r="D380" s="97">
        <v>10</v>
      </c>
      <c r="E380" s="98">
        <v>71.25</v>
      </c>
      <c r="F380" s="86">
        <f t="shared" si="10"/>
        <v>712.5</v>
      </c>
      <c r="G380" s="81"/>
      <c r="H380" s="1"/>
      <c r="J380" s="207"/>
      <c r="K380" s="100"/>
    </row>
    <row r="381" spans="2:12" ht="34.5" customHeight="1" x14ac:dyDescent="0.25">
      <c r="B381" s="188" t="s">
        <v>303</v>
      </c>
      <c r="C381" s="82" t="s">
        <v>114</v>
      </c>
      <c r="D381" s="97">
        <v>3</v>
      </c>
      <c r="E381" s="98">
        <v>92.52</v>
      </c>
      <c r="F381" s="86">
        <f t="shared" si="10"/>
        <v>277.56</v>
      </c>
      <c r="G381" s="81"/>
      <c r="H381" s="1"/>
      <c r="I381" s="1"/>
      <c r="J381" s="207"/>
      <c r="K381" s="100"/>
      <c r="L381" s="114"/>
    </row>
    <row r="382" spans="2:12" ht="34.5" customHeight="1" x14ac:dyDescent="0.3">
      <c r="B382" s="185"/>
      <c r="C382" s="46" t="s">
        <v>156</v>
      </c>
      <c r="D382" s="79"/>
      <c r="E382" s="79"/>
      <c r="F382" s="80">
        <f>SUM(F325:F381)</f>
        <v>57801.99</v>
      </c>
      <c r="H382" s="1"/>
    </row>
    <row r="383" spans="2:12" ht="34.5" customHeight="1" x14ac:dyDescent="0.25">
      <c r="B383" s="326" t="s">
        <v>112</v>
      </c>
      <c r="C383" s="326"/>
      <c r="D383" s="115"/>
      <c r="E383" s="115"/>
      <c r="F383" s="116"/>
      <c r="G383" s="189"/>
      <c r="H383" s="1"/>
    </row>
    <row r="384" spans="2:12" ht="34.5" customHeight="1" x14ac:dyDescent="0.25">
      <c r="B384" s="190" t="s">
        <v>333</v>
      </c>
      <c r="C384" s="103" t="s">
        <v>334</v>
      </c>
      <c r="D384" s="103">
        <v>12</v>
      </c>
      <c r="E384" s="180">
        <v>10416.666666666701</v>
      </c>
      <c r="F384" s="86">
        <f>D384*E384</f>
        <v>125000.00000000041</v>
      </c>
      <c r="G384" s="105"/>
    </row>
    <row r="385" spans="2:10" ht="34.5" customHeight="1" x14ac:dyDescent="0.25">
      <c r="B385" s="327" t="s">
        <v>158</v>
      </c>
      <c r="C385" s="327"/>
      <c r="D385" s="115"/>
      <c r="E385" s="115"/>
      <c r="F385" s="295">
        <f>SUM(F384)</f>
        <v>125000.00000000041</v>
      </c>
      <c r="G385" s="181"/>
    </row>
    <row r="386" spans="2:10" ht="34.5" customHeight="1" x14ac:dyDescent="0.25">
      <c r="B386" s="326" t="s">
        <v>124</v>
      </c>
      <c r="C386" s="326"/>
      <c r="D386" s="103"/>
      <c r="E386" s="103"/>
      <c r="F386" s="104"/>
      <c r="G386" s="105"/>
    </row>
    <row r="387" spans="2:10" ht="34.5" customHeight="1" x14ac:dyDescent="0.25">
      <c r="B387" s="125" t="s">
        <v>335</v>
      </c>
      <c r="C387" s="103" t="s">
        <v>336</v>
      </c>
      <c r="D387" s="158">
        <v>50</v>
      </c>
      <c r="E387" s="111">
        <v>100</v>
      </c>
      <c r="F387" s="86">
        <f>D387*E387</f>
        <v>5000</v>
      </c>
      <c r="G387" s="105"/>
    </row>
    <row r="388" spans="2:10" ht="34.5" customHeight="1" x14ac:dyDescent="0.25">
      <c r="B388" s="327" t="s">
        <v>158</v>
      </c>
      <c r="C388" s="327"/>
      <c r="D388" s="115"/>
      <c r="E388" s="115"/>
      <c r="F388" s="134">
        <f>SUM(F387)</f>
        <v>5000</v>
      </c>
      <c r="G388" s="181"/>
    </row>
    <row r="389" spans="2:10" ht="34.5" customHeight="1" x14ac:dyDescent="0.25">
      <c r="B389" s="327" t="s">
        <v>99</v>
      </c>
      <c r="C389" s="327"/>
      <c r="D389" s="115"/>
      <c r="E389" s="115"/>
      <c r="F389" s="134">
        <f>SUM(F385+F388)</f>
        <v>130000.00000000041</v>
      </c>
      <c r="G389" s="181"/>
    </row>
    <row r="391" spans="2:10" ht="34.5" customHeight="1" x14ac:dyDescent="0.25">
      <c r="B391" s="208" t="s">
        <v>353</v>
      </c>
      <c r="C391" s="217" t="s">
        <v>346</v>
      </c>
      <c r="D391" s="213" t="s">
        <v>344</v>
      </c>
      <c r="E391" s="213" t="s">
        <v>345</v>
      </c>
      <c r="F391" s="134" t="s">
        <v>355</v>
      </c>
    </row>
    <row r="392" spans="2:10" ht="73.5" customHeight="1" x14ac:dyDescent="0.25">
      <c r="B392" s="215" t="s">
        <v>227</v>
      </c>
      <c r="C392" s="288">
        <v>0</v>
      </c>
      <c r="D392" s="289">
        <f>SUM(C198)</f>
        <v>10461892.180879999</v>
      </c>
      <c r="E392" s="290">
        <f>SUM(D198)</f>
        <v>1447296.3099999991</v>
      </c>
      <c r="F392" s="291">
        <f>SUM(C392:E392)</f>
        <v>11909188.490879998</v>
      </c>
    </row>
    <row r="393" spans="2:10" ht="53.85" customHeight="1" x14ac:dyDescent="0.25">
      <c r="B393" s="234" t="s">
        <v>228</v>
      </c>
      <c r="C393" s="288">
        <v>0</v>
      </c>
      <c r="D393" s="289">
        <f>SUM(F207+F221+F270+F323+F385)</f>
        <v>354388.10000000038</v>
      </c>
      <c r="E393" s="289">
        <f>SUM(F218+F261+F382)+F388</f>
        <v>192788.65</v>
      </c>
      <c r="F393" s="291">
        <f>SUM(C393:E393)</f>
        <v>547176.75000000035</v>
      </c>
      <c r="G393" s="1">
        <f>SUM(B394-F393)</f>
        <v>-2.4590318789705634E-3</v>
      </c>
      <c r="I393" s="1">
        <f>SUM('[2]сделать 2024 юля'!$C$434)</f>
        <v>397636.95000000042</v>
      </c>
    </row>
    <row r="394" spans="2:10" ht="34.5" customHeight="1" x14ac:dyDescent="0.25">
      <c r="B394" s="286">
        <f>SUM('расчет подушевого 2024'!C131)</f>
        <v>547176.74754096847</v>
      </c>
      <c r="C394" s="287"/>
      <c r="D394" s="288"/>
      <c r="E394" s="288"/>
      <c r="F394" s="288"/>
      <c r="I394" s="1">
        <f>SUM('[2]сделать 2024 юля'!$C$435)</f>
        <v>192788.65</v>
      </c>
      <c r="J394" s="1">
        <f>SUM(E393-I394)</f>
        <v>0</v>
      </c>
    </row>
    <row r="395" spans="2:10" ht="34.5" customHeight="1" x14ac:dyDescent="0.25">
      <c r="B395" s="292">
        <f>SUM('расчет подушевого 2024'!C131+'расчет подушевого 2024'!C59+'расчет подушевого 2024'!C60)</f>
        <v>12456365.23754097</v>
      </c>
      <c r="C395" s="292"/>
      <c r="D395" s="288"/>
      <c r="E395" s="288"/>
      <c r="F395" s="292">
        <f>SUM(F392:F394)</f>
        <v>12456365.240879998</v>
      </c>
      <c r="G395" s="1">
        <f>SUM(B395-F395)</f>
        <v>-3.3390279859304428E-3</v>
      </c>
    </row>
    <row r="396" spans="2:10" ht="34.5" customHeight="1" x14ac:dyDescent="0.25">
      <c r="C396" s="198"/>
    </row>
    <row r="397" spans="2:10" ht="34.5" customHeight="1" x14ac:dyDescent="0.3">
      <c r="B397" s="322" t="s">
        <v>358</v>
      </c>
      <c r="C397" s="323"/>
      <c r="D397" s="323"/>
      <c r="E397" s="323"/>
      <c r="F397" s="323"/>
    </row>
    <row r="398" spans="2:10" ht="87.6" customHeight="1" x14ac:dyDescent="0.25">
      <c r="B398" s="217" t="s">
        <v>347</v>
      </c>
      <c r="C398" s="217" t="s">
        <v>346</v>
      </c>
      <c r="D398" s="213" t="s">
        <v>344</v>
      </c>
      <c r="E398" s="213" t="s">
        <v>345</v>
      </c>
      <c r="F398" s="134" t="s">
        <v>355</v>
      </c>
    </row>
    <row r="399" spans="2:10" ht="62.65" customHeight="1" x14ac:dyDescent="0.25">
      <c r="B399" s="217" t="s">
        <v>337</v>
      </c>
      <c r="C399" s="50">
        <v>0</v>
      </c>
      <c r="D399" s="49">
        <f>SUM(D392+D182)</f>
        <v>121200663.99065998</v>
      </c>
      <c r="E399" s="49">
        <f>SUM(E392+E182)</f>
        <v>11899999.009999998</v>
      </c>
      <c r="F399" s="204">
        <f>SUM(C399:E399)</f>
        <v>133100663.00065997</v>
      </c>
    </row>
    <row r="400" spans="2:10" ht="42" customHeight="1" x14ac:dyDescent="0.25">
      <c r="B400" s="209" t="s">
        <v>356</v>
      </c>
      <c r="C400" s="235">
        <f>SUM(C183)</f>
        <v>469192.99599999998</v>
      </c>
      <c r="D400" s="49">
        <f t="shared" ref="D400:E400" si="11">SUM(D393+D183)</f>
        <v>3540136.0100000007</v>
      </c>
      <c r="E400" s="49">
        <f t="shared" si="11"/>
        <v>2099900.9900000002</v>
      </c>
      <c r="F400" s="52">
        <f>SUM(C400:E400)</f>
        <v>6109229.9960000012</v>
      </c>
      <c r="I400" s="1">
        <f>SUM('расчет подушевого 2024'!C129)</f>
        <v>6109229.9951999998</v>
      </c>
    </row>
    <row r="401" spans="2:9" ht="34.5" customHeight="1" x14ac:dyDescent="0.25">
      <c r="B401" s="209"/>
      <c r="C401" s="52"/>
      <c r="D401" s="49"/>
      <c r="E401" s="49"/>
      <c r="F401" s="52"/>
    </row>
    <row r="402" spans="2:9" ht="34.5" customHeight="1" x14ac:dyDescent="0.25">
      <c r="B402" s="205">
        <f>SUM('расчет объема'!E47)</f>
        <v>139209892.99520001</v>
      </c>
      <c r="C402" s="205">
        <f>SUM(C399:C401)</f>
        <v>469192.99599999998</v>
      </c>
      <c r="D402" s="205">
        <f>SUM(D399:D401)</f>
        <v>124740800.00065999</v>
      </c>
      <c r="E402" s="205">
        <f>SUM(E399:E401)</f>
        <v>13999899.999999998</v>
      </c>
      <c r="F402" s="205">
        <f>SUM(F399:F401)</f>
        <v>139209892.99665996</v>
      </c>
      <c r="I402" s="1"/>
    </row>
    <row r="403" spans="2:9" ht="34.5" customHeight="1" x14ac:dyDescent="0.25">
      <c r="C403" s="198"/>
    </row>
    <row r="404" spans="2:9" ht="34.5" customHeight="1" x14ac:dyDescent="0.25">
      <c r="B404" s="4" t="s">
        <v>357</v>
      </c>
      <c r="C404" s="198"/>
    </row>
  </sheetData>
  <mergeCells count="71">
    <mergeCell ref="B89:C89"/>
    <mergeCell ref="B79:C79"/>
    <mergeCell ref="B80:C80"/>
    <mergeCell ref="B15:K15"/>
    <mergeCell ref="B5:J5"/>
    <mergeCell ref="B70:C70"/>
    <mergeCell ref="B18:C18"/>
    <mergeCell ref="B30:C30"/>
    <mergeCell ref="B34:C34"/>
    <mergeCell ref="B35:C35"/>
    <mergeCell ref="B65:C65"/>
    <mergeCell ref="B161:C161"/>
    <mergeCell ref="B142:C142"/>
    <mergeCell ref="B126:C126"/>
    <mergeCell ref="B108:C108"/>
    <mergeCell ref="B113:C113"/>
    <mergeCell ref="B112:C112"/>
    <mergeCell ref="B141:C141"/>
    <mergeCell ref="B153:C153"/>
    <mergeCell ref="B160:C160"/>
    <mergeCell ref="B324:C324"/>
    <mergeCell ref="B397:F397"/>
    <mergeCell ref="B261:C261"/>
    <mergeCell ref="B262:C262"/>
    <mergeCell ref="B204:C204"/>
    <mergeCell ref="B208:C208"/>
    <mergeCell ref="B221:C221"/>
    <mergeCell ref="B222:C222"/>
    <mergeCell ref="B286:C286"/>
    <mergeCell ref="B383:C383"/>
    <mergeCell ref="B385:C385"/>
    <mergeCell ref="B386:C386"/>
    <mergeCell ref="B388:C388"/>
    <mergeCell ref="B389:C389"/>
    <mergeCell ref="B90:C90"/>
    <mergeCell ref="B91:C91"/>
    <mergeCell ref="B97:C97"/>
    <mergeCell ref="B102:C102"/>
    <mergeCell ref="B103:C103"/>
    <mergeCell ref="B104:C104"/>
    <mergeCell ref="B107:C107"/>
    <mergeCell ref="B98:C98"/>
    <mergeCell ref="B283:C283"/>
    <mergeCell ref="B284:C284"/>
    <mergeCell ref="B178:C178"/>
    <mergeCell ref="B179:C179"/>
    <mergeCell ref="B187:K187"/>
    <mergeCell ref="B207:C207"/>
    <mergeCell ref="B218:C218"/>
    <mergeCell ref="B219:C219"/>
    <mergeCell ref="B166:C166"/>
    <mergeCell ref="B168:C168"/>
    <mergeCell ref="B173:C173"/>
    <mergeCell ref="B174:C174"/>
    <mergeCell ref="B148:C148"/>
    <mergeCell ref="B1:O1"/>
    <mergeCell ref="B4:J4"/>
    <mergeCell ref="B274:C274"/>
    <mergeCell ref="B279:C279"/>
    <mergeCell ref="B280:C280"/>
    <mergeCell ref="B145:C145"/>
    <mergeCell ref="B146:C146"/>
    <mergeCell ref="B149:C149"/>
    <mergeCell ref="B152:C152"/>
    <mergeCell ref="B156:C156"/>
    <mergeCell ref="B157:C157"/>
    <mergeCell ref="B119:C119"/>
    <mergeCell ref="B120:C120"/>
    <mergeCell ref="B127:C127"/>
    <mergeCell ref="B135:K135"/>
    <mergeCell ref="B137:C137"/>
  </mergeCells>
  <pageMargins left="0.7" right="0.7" top="0.75" bottom="0.75" header="0.3" footer="0.3"/>
  <pageSetup paperSize="9" scale="50" orientation="portrait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7</vt:i4>
      </vt:variant>
    </vt:vector>
  </HeadingPairs>
  <TitlesOfParts>
    <vt:vector size="15" baseType="lpstr">
      <vt:lpstr>значения базового норматива</vt:lpstr>
      <vt:lpstr>расчет объема</vt:lpstr>
      <vt:lpstr>расчет подушевого 2022</vt:lpstr>
      <vt:lpstr>РАСШИФРОВКА  2022 (2)</vt:lpstr>
      <vt:lpstr>расчет подушевого 2023</vt:lpstr>
      <vt:lpstr>расшифровка 2023</vt:lpstr>
      <vt:lpstr>расчет подушевого 2024</vt:lpstr>
      <vt:lpstr>расшифровка 2024</vt:lpstr>
      <vt:lpstr>'значения базового норматива'!Область_печати</vt:lpstr>
      <vt:lpstr>'расчет подушевого 2022'!Область_печати</vt:lpstr>
      <vt:lpstr>'расчет подушевого 2023'!Область_печати</vt:lpstr>
      <vt:lpstr>'расчет подушевого 2024'!Область_печати</vt:lpstr>
      <vt:lpstr>'РАСШИФРОВКА  2022 (2)'!Область_печати</vt:lpstr>
      <vt:lpstr>'расшифровка 2023'!Область_печати</vt:lpstr>
      <vt:lpstr>'расшифровка 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 безопасности</dc:creator>
  <cp:lastModifiedBy>User</cp:lastModifiedBy>
  <cp:lastPrinted>2023-10-02T05:08:55Z</cp:lastPrinted>
  <dcterms:created xsi:type="dcterms:W3CDTF">2015-06-05T18:19:34Z</dcterms:created>
  <dcterms:modified xsi:type="dcterms:W3CDTF">2023-10-02T05:14:29Z</dcterms:modified>
</cp:coreProperties>
</file>